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firstSheet="10" activeTab="10"/>
  </bookViews>
  <sheets>
    <sheet name="Pruebas" sheetId="1" r:id="rId1"/>
    <sheet name="Piscinas" sheetId="2" r:id="rId2"/>
    <sheet name="Hoja2" sheetId="3" r:id="rId3"/>
    <sheet name="RAW DATA" sheetId="4" r:id="rId4"/>
    <sheet name="Ej stata" sheetId="5" r:id="rId5"/>
    <sheet name="AEDEM_3" sheetId="6" r:id="rId6"/>
    <sheet name="Hoja3" sheetId="7" r:id="rId7"/>
    <sheet name="AEDEM_2" sheetId="8" r:id="rId8"/>
    <sheet name="AEDEM_1" sheetId="9" r:id="rId9"/>
    <sheet name="Hoja1" sheetId="10" r:id="rId10"/>
    <sheet name="FIEM_Martínez&amp;Martínez" sheetId="11" r:id="rId11"/>
  </sheets>
  <definedNames/>
  <calcPr fullCalcOnLoad="1"/>
</workbook>
</file>

<file path=xl/comments1.xml><?xml version="1.0" encoding="utf-8"?>
<comments xmlns="http://schemas.openxmlformats.org/spreadsheetml/2006/main">
  <authors>
    <author>Autor</author>
  </authors>
  <commentList>
    <comment ref="C10" authorId="0">
      <text>
        <r>
          <rPr>
            <b/>
            <sz val="8"/>
            <rFont val="Tahoma"/>
            <family val="0"/>
          </rPr>
          <t>Autor:</t>
        </r>
        <r>
          <rPr>
            <sz val="8"/>
            <rFont val="Tahoma"/>
            <family val="0"/>
          </rPr>
          <t xml:space="preserve">
Hay que tener cuidado con el "efecto techo". Puede que en uno de los grupos la varianza tenga muy poco valor debdio a que se llega a un límite en la puntuación. En estos casos, sería más adecuado escoger no una varianza media, sino la varianza mayor
</t>
        </r>
      </text>
    </comment>
  </commentList>
</comments>
</file>

<file path=xl/comments2.xml><?xml version="1.0" encoding="utf-8"?>
<comments xmlns="http://schemas.openxmlformats.org/spreadsheetml/2006/main">
  <authors>
    <author>Autor</author>
  </authors>
  <commentList>
    <comment ref="A15" authorId="0">
      <text>
        <r>
          <rPr>
            <b/>
            <sz val="8"/>
            <rFont val="Tahoma"/>
            <family val="0"/>
          </rPr>
          <t>Autor:</t>
        </r>
        <r>
          <rPr>
            <sz val="8"/>
            <rFont val="Tahoma"/>
            <family val="0"/>
          </rPr>
          <t xml:space="preserve">
sin tener en cuenta los perdidos. Es decir aunque alguien no me valore una dimensión se tiene en cuenta para la calidad media</t>
        </r>
      </text>
    </comment>
  </commentList>
</comments>
</file>

<file path=xl/comments4.xml><?xml version="1.0" encoding="utf-8"?>
<comments xmlns="http://schemas.openxmlformats.org/spreadsheetml/2006/main">
  <authors>
    <author>Autor</author>
  </authors>
  <commentList>
    <comment ref="B314" authorId="0">
      <text>
        <r>
          <rPr>
            <b/>
            <sz val="8"/>
            <rFont val="Tahoma"/>
            <family val="0"/>
          </rPr>
          <t>Autor:</t>
        </r>
        <r>
          <rPr>
            <sz val="8"/>
            <rFont val="Tahoma"/>
            <family val="0"/>
          </rPr>
          <t xml:space="preserve">
que casi me coincide con la que me da el SPSS</t>
        </r>
      </text>
    </comment>
    <comment ref="F304" authorId="0">
      <text>
        <r>
          <rPr>
            <b/>
            <sz val="8"/>
            <rFont val="Tahoma"/>
            <family val="0"/>
          </rPr>
          <t>Autor:</t>
        </r>
        <r>
          <rPr>
            <sz val="8"/>
            <rFont val="Tahoma"/>
            <family val="0"/>
          </rPr>
          <t xml:space="preserve">
Llevarme estos datos al ejemplo de ramaño del efecto</t>
        </r>
      </text>
    </comment>
    <comment ref="M304" authorId="0">
      <text>
        <r>
          <rPr>
            <b/>
            <sz val="8"/>
            <rFont val="Tahoma"/>
            <family val="0"/>
          </rPr>
          <t>Autor:</t>
        </r>
        <r>
          <rPr>
            <sz val="8"/>
            <rFont val="Tahoma"/>
            <family val="0"/>
          </rPr>
          <t xml:space="preserve">
Llevarme estos datos al ejemplo de ramaño del efecto</t>
        </r>
      </text>
    </comment>
    <comment ref="I314" authorId="0">
      <text>
        <r>
          <rPr>
            <b/>
            <sz val="8"/>
            <rFont val="Tahoma"/>
            <family val="0"/>
          </rPr>
          <t>Autor:</t>
        </r>
        <r>
          <rPr>
            <sz val="8"/>
            <rFont val="Tahoma"/>
            <family val="0"/>
          </rPr>
          <t xml:space="preserve">
que casi me coincide con la que me da el SPSS</t>
        </r>
      </text>
    </comment>
  </commentList>
</comments>
</file>

<file path=xl/comments7.xml><?xml version="1.0" encoding="utf-8"?>
<comments xmlns="http://schemas.openxmlformats.org/spreadsheetml/2006/main">
  <authors>
    <author>Autor</author>
  </authors>
  <commentList>
    <comment ref="A27" authorId="0">
      <text>
        <r>
          <rPr>
            <b/>
            <sz val="8"/>
            <rFont val="Tahoma"/>
            <family val="0"/>
          </rPr>
          <t>Autor:</t>
        </r>
        <r>
          <rPr>
            <sz val="8"/>
            <rFont val="Tahoma"/>
            <family val="0"/>
          </rPr>
          <t xml:space="preserve">
construido a través del índice de precisión de la escala</t>
        </r>
      </text>
    </comment>
    <comment ref="A41" authorId="0">
      <text>
        <r>
          <rPr>
            <b/>
            <sz val="8"/>
            <rFont val="Tahoma"/>
            <family val="0"/>
          </rPr>
          <t>Autor:</t>
        </r>
        <r>
          <rPr>
            <sz val="8"/>
            <rFont val="Tahoma"/>
            <family val="0"/>
          </rPr>
          <t xml:space="preserve">
construido a través de la estimación de la máxima varianza de la escala</t>
        </r>
      </text>
    </comment>
  </commentList>
</comments>
</file>

<file path=xl/comments8.xml><?xml version="1.0" encoding="utf-8"?>
<comments xmlns="http://schemas.openxmlformats.org/spreadsheetml/2006/main">
  <authors>
    <author>Autor</author>
  </authors>
  <commentList>
    <comment ref="C9" authorId="0">
      <text>
        <r>
          <rPr>
            <b/>
            <sz val="8"/>
            <rFont val="Tahoma"/>
            <family val="0"/>
          </rPr>
          <t>Autor:</t>
        </r>
        <r>
          <rPr>
            <sz val="8"/>
            <rFont val="Tahoma"/>
            <family val="0"/>
          </rPr>
          <t xml:space="preserve">
En este caso no se puede considerar iguales las varianzas por lo que hay que estimar una varianza media de los dos grupos
</t>
        </r>
      </text>
    </comment>
    <comment ref="B11" authorId="0">
      <text>
        <r>
          <rPr>
            <b/>
            <sz val="8"/>
            <rFont val="Tahoma"/>
            <family val="0"/>
          </rPr>
          <t>Autor:</t>
        </r>
        <r>
          <rPr>
            <sz val="8"/>
            <rFont val="Tahoma"/>
            <family val="0"/>
          </rPr>
          <t xml:space="preserve">
Para convertir d a r usando la fórmula de Cohern (1988, o.23)</t>
        </r>
      </text>
    </comment>
    <comment ref="B15" authorId="0">
      <text>
        <r>
          <rPr>
            <b/>
            <sz val="8"/>
            <rFont val="Tahoma"/>
            <family val="0"/>
          </rPr>
          <t>Autor:</t>
        </r>
        <r>
          <rPr>
            <sz val="8"/>
            <rFont val="Tahoma"/>
            <family val="0"/>
          </rPr>
          <t xml:space="preserve">
Aaron et al (1998)</t>
        </r>
      </text>
    </comment>
    <comment ref="C15" authorId="0">
      <text>
        <r>
          <rPr>
            <b/>
            <sz val="8"/>
            <rFont val="Tahoma"/>
            <family val="0"/>
          </rPr>
          <t>Autor:
Sacado del manual de la APA</t>
        </r>
      </text>
    </comment>
    <comment ref="B18" authorId="0">
      <text>
        <r>
          <rPr>
            <b/>
            <sz val="8"/>
            <rFont val="Tahoma"/>
            <family val="0"/>
          </rPr>
          <t>Autor:</t>
        </r>
        <r>
          <rPr>
            <sz val="8"/>
            <rFont val="Tahoma"/>
            <family val="0"/>
          </rPr>
          <t xml:space="preserve">
Para convertir d a r usando la fórmula de Cohern (1988, o.23)</t>
        </r>
      </text>
    </comment>
    <comment ref="B22" authorId="0">
      <text>
        <r>
          <rPr>
            <b/>
            <sz val="8"/>
            <rFont val="Tahoma"/>
            <family val="0"/>
          </rPr>
          <t>Autor:</t>
        </r>
        <r>
          <rPr>
            <sz val="8"/>
            <rFont val="Tahoma"/>
            <family val="0"/>
          </rPr>
          <t xml:space="preserve">
Aaron et al (1998)</t>
        </r>
      </text>
    </comment>
    <comment ref="C22" authorId="0">
      <text>
        <r>
          <rPr>
            <b/>
            <sz val="8"/>
            <rFont val="Tahoma"/>
            <family val="0"/>
          </rPr>
          <t>Autor:</t>
        </r>
        <r>
          <rPr>
            <sz val="8"/>
            <rFont val="Tahoma"/>
            <family val="0"/>
          </rPr>
          <t xml:space="preserve">
Tiene que salir igual que la celda C57. Debe de ser por los decimales</t>
        </r>
      </text>
    </comment>
    <comment ref="C25" authorId="0">
      <text>
        <r>
          <rPr>
            <b/>
            <sz val="8"/>
            <rFont val="Tahoma"/>
            <family val="0"/>
          </rPr>
          <t>Autor:</t>
        </r>
        <r>
          <rPr>
            <sz val="8"/>
            <rFont val="Tahoma"/>
            <family val="0"/>
          </rPr>
          <t xml:space="preserve">
comprobar que es así</t>
        </r>
      </text>
    </comment>
    <comment ref="B36" authorId="0">
      <text>
        <r>
          <rPr>
            <b/>
            <sz val="8"/>
            <rFont val="Tahoma"/>
            <family val="0"/>
          </rPr>
          <t>Autor:</t>
        </r>
        <r>
          <rPr>
            <sz val="8"/>
            <rFont val="Tahoma"/>
            <family val="0"/>
          </rPr>
          <t xml:space="preserve">
Hedges and Olkin (1985)
</t>
        </r>
      </text>
    </comment>
    <comment ref="C49" authorId="0">
      <text>
        <r>
          <rPr>
            <b/>
            <sz val="8"/>
            <rFont val="Tahoma"/>
            <family val="0"/>
          </rPr>
          <t>Autor:</t>
        </r>
        <r>
          <rPr>
            <sz val="8"/>
            <rFont val="Tahoma"/>
            <family val="0"/>
          </rPr>
          <t xml:space="preserve">
Hay que tener cuidado con el "efecto techo". Puede que en uno de los grupos la varianza tenga muy poco valor debdio a que se llega a un límite en la puntuación. En estos casos, sería más adecuado escoger no una varianza media, sino la varianza mayor
</t>
        </r>
      </text>
    </comment>
    <comment ref="C53" authorId="0">
      <text>
        <r>
          <rPr>
            <b/>
            <sz val="8"/>
            <rFont val="Tahoma"/>
            <family val="0"/>
          </rPr>
          <t>Autor:</t>
        </r>
        <r>
          <rPr>
            <sz val="8"/>
            <rFont val="Tahoma"/>
            <family val="0"/>
          </rPr>
          <t xml:space="preserve">
que no coincide. El hecho de que las varianzas sean diferentes complica el tema. Si pongo el valor t asumiendo varianzas iguales se me aproxima mucho</t>
        </r>
      </text>
    </comment>
    <comment ref="C54" authorId="0">
      <text>
        <r>
          <rPr>
            <b/>
            <sz val="8"/>
            <rFont val="Tahoma"/>
            <family val="0"/>
          </rPr>
          <t>Autor:</t>
        </r>
        <r>
          <rPr>
            <sz val="8"/>
            <rFont val="Tahoma"/>
            <family val="0"/>
          </rPr>
          <t xml:space="preserve">
cuidado con que valor de t meter, ya que depende de si se consideran varianzas iguales o no</t>
        </r>
      </text>
    </comment>
    <comment ref="C65" authorId="0">
      <text>
        <r>
          <rPr>
            <b/>
            <sz val="8"/>
            <rFont val="Tahoma"/>
            <family val="0"/>
          </rPr>
          <t>Autor:</t>
        </r>
        <r>
          <rPr>
            <sz val="8"/>
            <rFont val="Tahoma"/>
            <family val="0"/>
          </rPr>
          <t xml:space="preserve">
cuidado porque aquí se computa a través de la t, que depende de las varianzas de los grupos</t>
        </r>
      </text>
    </comment>
    <comment ref="A86" authorId="0">
      <text>
        <r>
          <rPr>
            <b/>
            <sz val="8"/>
            <rFont val="Tahoma"/>
            <family val="0"/>
          </rPr>
          <t>Autor:</t>
        </r>
        <r>
          <rPr>
            <sz val="8"/>
            <rFont val="Tahoma"/>
            <family val="0"/>
          </rPr>
          <t xml:space="preserve">
es el que se plantea habitualmente en la hipótesis nula</t>
        </r>
      </text>
    </comment>
    <comment ref="C87" authorId="0">
      <text>
        <r>
          <rPr>
            <b/>
            <sz val="8"/>
            <rFont val="Tahoma"/>
            <family val="0"/>
          </rPr>
          <t>Autor:</t>
        </r>
        <r>
          <rPr>
            <sz val="8"/>
            <rFont val="Tahoma"/>
            <family val="0"/>
          </rPr>
          <t xml:space="preserve">
cuidado que he cogido el r2 corregido en vez del normal. También se puede tomar el r2 del contraste</t>
        </r>
      </text>
    </comment>
    <comment ref="A137" authorId="0">
      <text>
        <r>
          <rPr>
            <b/>
            <sz val="8"/>
            <rFont val="Tahoma"/>
            <family val="0"/>
          </rPr>
          <t>Autor:</t>
        </r>
        <r>
          <rPr>
            <sz val="8"/>
            <rFont val="Tahoma"/>
            <family val="0"/>
          </rPr>
          <t xml:space="preserve">
construido a través del índice de precisión de la escala</t>
        </r>
      </text>
    </comment>
    <comment ref="A151" authorId="0">
      <text>
        <r>
          <rPr>
            <b/>
            <sz val="8"/>
            <rFont val="Tahoma"/>
            <family val="0"/>
          </rPr>
          <t>Autor:</t>
        </r>
        <r>
          <rPr>
            <sz val="8"/>
            <rFont val="Tahoma"/>
            <family val="0"/>
          </rPr>
          <t xml:space="preserve">
construido a través de la estimación de la máxima varianza de la escala</t>
        </r>
      </text>
    </comment>
    <comment ref="A166" authorId="0">
      <text>
        <r>
          <rPr>
            <b/>
            <sz val="8"/>
            <rFont val="Tahoma"/>
            <family val="0"/>
          </rPr>
          <t>Autor:</t>
        </r>
        <r>
          <rPr>
            <sz val="8"/>
            <rFont val="Tahoma"/>
            <family val="0"/>
          </rPr>
          <t xml:space="preserve">
A partir de las proporciones</t>
        </r>
      </text>
    </comment>
    <comment ref="A307" authorId="0">
      <text>
        <r>
          <rPr>
            <b/>
            <sz val="8"/>
            <rFont val="Tahoma"/>
            <family val="0"/>
          </rPr>
          <t>Autor:</t>
        </r>
        <r>
          <rPr>
            <sz val="8"/>
            <rFont val="Tahoma"/>
            <family val="0"/>
          </rPr>
          <t xml:space="preserve">
no tengo muy claro si son las varianzas de la población o de la muestra</t>
        </r>
      </text>
    </comment>
    <comment ref="A333" authorId="0">
      <text>
        <r>
          <rPr>
            <b/>
            <sz val="8"/>
            <rFont val="Tahoma"/>
            <family val="0"/>
          </rPr>
          <t>Autor:</t>
        </r>
        <r>
          <rPr>
            <sz val="8"/>
            <rFont val="Tahoma"/>
            <family val="0"/>
          </rPr>
          <t xml:space="preserve">
Kline (2004)</t>
        </r>
      </text>
    </comment>
    <comment ref="A350" authorId="0">
      <text>
        <r>
          <rPr>
            <b/>
            <sz val="8"/>
            <rFont val="Tahoma"/>
            <family val="0"/>
          </rPr>
          <t>Autor:</t>
        </r>
        <r>
          <rPr>
            <sz val="8"/>
            <rFont val="Tahoma"/>
            <family val="0"/>
          </rPr>
          <t xml:space="preserve">
Olejnik y Algina(2003)</t>
        </r>
      </text>
    </comment>
    <comment ref="C354"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A362" authorId="0">
      <text>
        <r>
          <rPr>
            <b/>
            <sz val="8"/>
            <rFont val="Tahoma"/>
            <family val="0"/>
          </rPr>
          <t>Autor:</t>
        </r>
        <r>
          <rPr>
            <sz val="8"/>
            <rFont val="Tahoma"/>
            <family val="0"/>
          </rPr>
          <t xml:space="preserve">
Olegnik y Algina (2003)
</t>
        </r>
      </text>
    </comment>
    <comment ref="C366"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C379"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C418" authorId="0">
      <text>
        <r>
          <rPr>
            <b/>
            <sz val="8"/>
            <rFont val="Tahoma"/>
            <family val="0"/>
          </rPr>
          <t>Autor:</t>
        </r>
        <r>
          <rPr>
            <sz val="8"/>
            <rFont val="Tahoma"/>
            <family val="0"/>
          </rPr>
          <t xml:space="preserve">
En este caso no se puede considerar iguales las varianzas por lo que hay que estimar una varianza media de los dos grupos
</t>
        </r>
      </text>
    </comment>
    <comment ref="B420" authorId="0">
      <text>
        <r>
          <rPr>
            <b/>
            <sz val="8"/>
            <rFont val="Tahoma"/>
            <family val="0"/>
          </rPr>
          <t>Autor:</t>
        </r>
        <r>
          <rPr>
            <sz val="8"/>
            <rFont val="Tahoma"/>
            <family val="0"/>
          </rPr>
          <t xml:space="preserve">
Para convertir d a r usando la fórmula de Cohern (1988, o.23)</t>
        </r>
      </text>
    </comment>
    <comment ref="B424" authorId="0">
      <text>
        <r>
          <rPr>
            <b/>
            <sz val="8"/>
            <rFont val="Tahoma"/>
            <family val="0"/>
          </rPr>
          <t>Autor:</t>
        </r>
        <r>
          <rPr>
            <sz val="8"/>
            <rFont val="Tahoma"/>
            <family val="0"/>
          </rPr>
          <t xml:space="preserve">
Aaron et al (1998)</t>
        </r>
      </text>
    </comment>
    <comment ref="C424" authorId="0">
      <text>
        <r>
          <rPr>
            <b/>
            <sz val="8"/>
            <rFont val="Tahoma"/>
            <family val="0"/>
          </rPr>
          <t>Autor:
Sacado del manual de la APA</t>
        </r>
      </text>
    </comment>
    <comment ref="B427" authorId="0">
      <text>
        <r>
          <rPr>
            <b/>
            <sz val="8"/>
            <rFont val="Tahoma"/>
            <family val="0"/>
          </rPr>
          <t>Autor:</t>
        </r>
        <r>
          <rPr>
            <sz val="8"/>
            <rFont val="Tahoma"/>
            <family val="0"/>
          </rPr>
          <t xml:space="preserve">
Para convertir d a r usando la fórmula de Cohern (1988, o.23)</t>
        </r>
      </text>
    </comment>
    <comment ref="B431" authorId="0">
      <text>
        <r>
          <rPr>
            <b/>
            <sz val="8"/>
            <rFont val="Tahoma"/>
            <family val="0"/>
          </rPr>
          <t>Autor:</t>
        </r>
        <r>
          <rPr>
            <sz val="8"/>
            <rFont val="Tahoma"/>
            <family val="0"/>
          </rPr>
          <t xml:space="preserve">
Aaron et al (1998)</t>
        </r>
      </text>
    </comment>
    <comment ref="C431" authorId="0">
      <text>
        <r>
          <rPr>
            <b/>
            <sz val="8"/>
            <rFont val="Tahoma"/>
            <family val="0"/>
          </rPr>
          <t>Autor:</t>
        </r>
        <r>
          <rPr>
            <sz val="8"/>
            <rFont val="Tahoma"/>
            <family val="0"/>
          </rPr>
          <t xml:space="preserve">
Tiene que salir igual que la celda C57. Debe de ser por los decimales</t>
        </r>
      </text>
    </comment>
    <comment ref="C434" authorId="0">
      <text>
        <r>
          <rPr>
            <b/>
            <sz val="8"/>
            <rFont val="Tahoma"/>
            <family val="0"/>
          </rPr>
          <t>Autor:</t>
        </r>
        <r>
          <rPr>
            <sz val="8"/>
            <rFont val="Tahoma"/>
            <family val="0"/>
          </rPr>
          <t xml:space="preserve">
comprobar que es así</t>
        </r>
      </text>
    </comment>
    <comment ref="B445" authorId="0">
      <text>
        <r>
          <rPr>
            <b/>
            <sz val="8"/>
            <rFont val="Tahoma"/>
            <family val="0"/>
          </rPr>
          <t>Autor:</t>
        </r>
        <r>
          <rPr>
            <sz val="8"/>
            <rFont val="Tahoma"/>
            <family val="0"/>
          </rPr>
          <t xml:space="preserve">
Hedges and Olkin (1985)
</t>
        </r>
      </text>
    </comment>
    <comment ref="C458" authorId="0">
      <text>
        <r>
          <rPr>
            <b/>
            <sz val="8"/>
            <rFont val="Tahoma"/>
            <family val="0"/>
          </rPr>
          <t>Autor:</t>
        </r>
        <r>
          <rPr>
            <sz val="8"/>
            <rFont val="Tahoma"/>
            <family val="0"/>
          </rPr>
          <t xml:space="preserve">
Hay que tener cuidado con el "efecto techo". Puede que en uno de los grupos la varianza tenga muy poco valor debdio a que se llega a un límite en la puntuación. En estos casos, sería más adecuado escoger no una varianza media, sino la varianza mayor
</t>
        </r>
      </text>
    </comment>
    <comment ref="C462" authorId="0">
      <text>
        <r>
          <rPr>
            <b/>
            <sz val="8"/>
            <rFont val="Tahoma"/>
            <family val="0"/>
          </rPr>
          <t>Autor:</t>
        </r>
        <r>
          <rPr>
            <sz val="8"/>
            <rFont val="Tahoma"/>
            <family val="0"/>
          </rPr>
          <t xml:space="preserve">
que no coincide. El hecho de que las varianzas sean diferentes complica el tema. Si pongo el valor t asumiendo varianzas iguales se me aproxima mucho</t>
        </r>
      </text>
    </comment>
    <comment ref="C463" authorId="0">
      <text>
        <r>
          <rPr>
            <b/>
            <sz val="8"/>
            <rFont val="Tahoma"/>
            <family val="0"/>
          </rPr>
          <t>Autor:</t>
        </r>
        <r>
          <rPr>
            <sz val="8"/>
            <rFont val="Tahoma"/>
            <family val="0"/>
          </rPr>
          <t xml:space="preserve">
cuidado con que valor de t meter, ya que depende de si se consideran varianzas iguales o no</t>
        </r>
      </text>
    </comment>
    <comment ref="C474" authorId="0">
      <text>
        <r>
          <rPr>
            <b/>
            <sz val="8"/>
            <rFont val="Tahoma"/>
            <family val="0"/>
          </rPr>
          <t>Autor:</t>
        </r>
        <r>
          <rPr>
            <sz val="8"/>
            <rFont val="Tahoma"/>
            <family val="0"/>
          </rPr>
          <t xml:space="preserve">
cuidado porque aquí se computa a través de la t, que depende de las varianzas de los grupos</t>
        </r>
      </text>
    </comment>
    <comment ref="A495" authorId="0">
      <text>
        <r>
          <rPr>
            <b/>
            <sz val="8"/>
            <rFont val="Tahoma"/>
            <family val="0"/>
          </rPr>
          <t>Autor:</t>
        </r>
        <r>
          <rPr>
            <sz val="8"/>
            <rFont val="Tahoma"/>
            <family val="0"/>
          </rPr>
          <t xml:space="preserve">
es el que se plantea habitualmente en la hipótesis nula</t>
        </r>
      </text>
    </comment>
    <comment ref="C496" authorId="0">
      <text>
        <r>
          <rPr>
            <b/>
            <sz val="8"/>
            <rFont val="Tahoma"/>
            <family val="0"/>
          </rPr>
          <t>Autor:</t>
        </r>
        <r>
          <rPr>
            <sz val="8"/>
            <rFont val="Tahoma"/>
            <family val="0"/>
          </rPr>
          <t xml:space="preserve">
cuidado que he cogido el r2 corregido en vez del normal. También se puede tomar el r2 del contraste</t>
        </r>
      </text>
    </comment>
    <comment ref="A546" authorId="0">
      <text>
        <r>
          <rPr>
            <b/>
            <sz val="8"/>
            <rFont val="Tahoma"/>
            <family val="0"/>
          </rPr>
          <t>Autor:</t>
        </r>
        <r>
          <rPr>
            <sz val="8"/>
            <rFont val="Tahoma"/>
            <family val="0"/>
          </rPr>
          <t xml:space="preserve">
construido a través del índice de precisión de la escala</t>
        </r>
      </text>
    </comment>
    <comment ref="A560" authorId="0">
      <text>
        <r>
          <rPr>
            <b/>
            <sz val="8"/>
            <rFont val="Tahoma"/>
            <family val="0"/>
          </rPr>
          <t>Autor:</t>
        </r>
        <r>
          <rPr>
            <sz val="8"/>
            <rFont val="Tahoma"/>
            <family val="0"/>
          </rPr>
          <t xml:space="preserve">
construido a través de la estimación de la máxima varianza de la escala</t>
        </r>
      </text>
    </comment>
    <comment ref="A575" authorId="0">
      <text>
        <r>
          <rPr>
            <b/>
            <sz val="8"/>
            <rFont val="Tahoma"/>
            <family val="0"/>
          </rPr>
          <t>Autor:</t>
        </r>
        <r>
          <rPr>
            <sz val="8"/>
            <rFont val="Tahoma"/>
            <family val="0"/>
          </rPr>
          <t xml:space="preserve">
A partir de las proporciones</t>
        </r>
      </text>
    </comment>
    <comment ref="A716" authorId="0">
      <text>
        <r>
          <rPr>
            <b/>
            <sz val="8"/>
            <rFont val="Tahoma"/>
            <family val="0"/>
          </rPr>
          <t>Autor:</t>
        </r>
        <r>
          <rPr>
            <sz val="8"/>
            <rFont val="Tahoma"/>
            <family val="0"/>
          </rPr>
          <t xml:space="preserve">
no tengo muy claro si son las varianzas de la población o de la muestra</t>
        </r>
      </text>
    </comment>
    <comment ref="A742" authorId="0">
      <text>
        <r>
          <rPr>
            <b/>
            <sz val="8"/>
            <rFont val="Tahoma"/>
            <family val="0"/>
          </rPr>
          <t>Autor:</t>
        </r>
        <r>
          <rPr>
            <sz val="8"/>
            <rFont val="Tahoma"/>
            <family val="0"/>
          </rPr>
          <t xml:space="preserve">
Kline (2004)</t>
        </r>
      </text>
    </comment>
    <comment ref="A759" authorId="0">
      <text>
        <r>
          <rPr>
            <b/>
            <sz val="8"/>
            <rFont val="Tahoma"/>
            <family val="0"/>
          </rPr>
          <t>Autor:</t>
        </r>
        <r>
          <rPr>
            <sz val="8"/>
            <rFont val="Tahoma"/>
            <family val="0"/>
          </rPr>
          <t xml:space="preserve">
Olejnik y Algina(2003)</t>
        </r>
      </text>
    </comment>
    <comment ref="C763"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A771" authorId="0">
      <text>
        <r>
          <rPr>
            <b/>
            <sz val="8"/>
            <rFont val="Tahoma"/>
            <family val="0"/>
          </rPr>
          <t>Autor:</t>
        </r>
        <r>
          <rPr>
            <sz val="8"/>
            <rFont val="Tahoma"/>
            <family val="0"/>
          </rPr>
          <t xml:space="preserve">
Olegnik y Algina (2003)
</t>
        </r>
      </text>
    </comment>
    <comment ref="C775"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C788"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C828" authorId="0">
      <text>
        <r>
          <rPr>
            <b/>
            <sz val="8"/>
            <rFont val="Tahoma"/>
            <family val="0"/>
          </rPr>
          <t>Autor:</t>
        </r>
        <r>
          <rPr>
            <sz val="8"/>
            <rFont val="Tahoma"/>
            <family val="0"/>
          </rPr>
          <t xml:space="preserve">
En este caso no se puede considerar iguales las varianzas por lo que hay que estimar una varianza media de los dos grupos
</t>
        </r>
      </text>
    </comment>
    <comment ref="B830" authorId="0">
      <text>
        <r>
          <rPr>
            <b/>
            <sz val="8"/>
            <rFont val="Tahoma"/>
            <family val="0"/>
          </rPr>
          <t>Autor:</t>
        </r>
        <r>
          <rPr>
            <sz val="8"/>
            <rFont val="Tahoma"/>
            <family val="0"/>
          </rPr>
          <t xml:space="preserve">
Para convertir d a r usando la fórmula de Cohern (1988, o.23)</t>
        </r>
      </text>
    </comment>
    <comment ref="B834" authorId="0">
      <text>
        <r>
          <rPr>
            <b/>
            <sz val="8"/>
            <rFont val="Tahoma"/>
            <family val="0"/>
          </rPr>
          <t>Autor:</t>
        </r>
        <r>
          <rPr>
            <sz val="8"/>
            <rFont val="Tahoma"/>
            <family val="0"/>
          </rPr>
          <t xml:space="preserve">
Aaron et al (1998)</t>
        </r>
      </text>
    </comment>
    <comment ref="C834" authorId="0">
      <text>
        <r>
          <rPr>
            <b/>
            <sz val="8"/>
            <rFont val="Tahoma"/>
            <family val="0"/>
          </rPr>
          <t>Autor:
Sacado del manual de la APA</t>
        </r>
      </text>
    </comment>
    <comment ref="B837" authorId="0">
      <text>
        <r>
          <rPr>
            <b/>
            <sz val="8"/>
            <rFont val="Tahoma"/>
            <family val="0"/>
          </rPr>
          <t>Autor:</t>
        </r>
        <r>
          <rPr>
            <sz val="8"/>
            <rFont val="Tahoma"/>
            <family val="0"/>
          </rPr>
          <t xml:space="preserve">
Para convertir d a r usando la fórmula de Cohern (1988, o.23)</t>
        </r>
      </text>
    </comment>
    <comment ref="B841" authorId="0">
      <text>
        <r>
          <rPr>
            <b/>
            <sz val="8"/>
            <rFont val="Tahoma"/>
            <family val="0"/>
          </rPr>
          <t>Autor:</t>
        </r>
        <r>
          <rPr>
            <sz val="8"/>
            <rFont val="Tahoma"/>
            <family val="0"/>
          </rPr>
          <t xml:space="preserve">
Aaron et al (1998)</t>
        </r>
      </text>
    </comment>
    <comment ref="C841" authorId="0">
      <text>
        <r>
          <rPr>
            <b/>
            <sz val="8"/>
            <rFont val="Tahoma"/>
            <family val="0"/>
          </rPr>
          <t>Autor:</t>
        </r>
        <r>
          <rPr>
            <sz val="8"/>
            <rFont val="Tahoma"/>
            <family val="0"/>
          </rPr>
          <t xml:space="preserve">
Tiene que salir igual que la celda C57. Debe de ser por los decimales</t>
        </r>
      </text>
    </comment>
    <comment ref="C844" authorId="0">
      <text>
        <r>
          <rPr>
            <b/>
            <sz val="8"/>
            <rFont val="Tahoma"/>
            <family val="0"/>
          </rPr>
          <t>Autor:</t>
        </r>
        <r>
          <rPr>
            <sz val="8"/>
            <rFont val="Tahoma"/>
            <family val="0"/>
          </rPr>
          <t xml:space="preserve">
comprobar que es así</t>
        </r>
      </text>
    </comment>
    <comment ref="B855" authorId="0">
      <text>
        <r>
          <rPr>
            <b/>
            <sz val="8"/>
            <rFont val="Tahoma"/>
            <family val="0"/>
          </rPr>
          <t>Autor:</t>
        </r>
        <r>
          <rPr>
            <sz val="8"/>
            <rFont val="Tahoma"/>
            <family val="0"/>
          </rPr>
          <t xml:space="preserve">
Hedges and Olkin (1985)
</t>
        </r>
      </text>
    </comment>
    <comment ref="C868" authorId="0">
      <text>
        <r>
          <rPr>
            <b/>
            <sz val="8"/>
            <rFont val="Tahoma"/>
            <family val="0"/>
          </rPr>
          <t>Autor:</t>
        </r>
        <r>
          <rPr>
            <sz val="8"/>
            <rFont val="Tahoma"/>
            <family val="0"/>
          </rPr>
          <t xml:space="preserve">
Hay que tener cuidado con el "efecto techo". Puede que en uno de los grupos la varianza tenga muy poco valor debdio a que se llega a un límite en la puntuación. En estos casos, sería más adecuado escoger no una varianza media, sino la varianza mayor
</t>
        </r>
      </text>
    </comment>
    <comment ref="C872" authorId="0">
      <text>
        <r>
          <rPr>
            <b/>
            <sz val="8"/>
            <rFont val="Tahoma"/>
            <family val="0"/>
          </rPr>
          <t>Autor:</t>
        </r>
        <r>
          <rPr>
            <sz val="8"/>
            <rFont val="Tahoma"/>
            <family val="0"/>
          </rPr>
          <t xml:space="preserve">
que no coincide. El hecho de que las varianzas sean diferentes complica el tema. Si pongo el valor t asumiendo varianzas iguales se me aproxima mucho</t>
        </r>
      </text>
    </comment>
    <comment ref="C873" authorId="0">
      <text>
        <r>
          <rPr>
            <b/>
            <sz val="8"/>
            <rFont val="Tahoma"/>
            <family val="0"/>
          </rPr>
          <t>Autor:</t>
        </r>
        <r>
          <rPr>
            <sz val="8"/>
            <rFont val="Tahoma"/>
            <family val="0"/>
          </rPr>
          <t xml:space="preserve">
cuidado con que valor de t meter, ya que depende de si se consideran varianzas iguales o no</t>
        </r>
      </text>
    </comment>
    <comment ref="C884" authorId="0">
      <text>
        <r>
          <rPr>
            <b/>
            <sz val="8"/>
            <rFont val="Tahoma"/>
            <family val="0"/>
          </rPr>
          <t>Autor:</t>
        </r>
        <r>
          <rPr>
            <sz val="8"/>
            <rFont val="Tahoma"/>
            <family val="0"/>
          </rPr>
          <t xml:space="preserve">
cuidado porque aquí se computa a través de la t, que depende de las varianzas de los grupos</t>
        </r>
      </text>
    </comment>
    <comment ref="A905" authorId="0">
      <text>
        <r>
          <rPr>
            <b/>
            <sz val="8"/>
            <rFont val="Tahoma"/>
            <family val="0"/>
          </rPr>
          <t>Autor:</t>
        </r>
        <r>
          <rPr>
            <sz val="8"/>
            <rFont val="Tahoma"/>
            <family val="0"/>
          </rPr>
          <t xml:space="preserve">
es el que se plantea habitualmente en la hipótesis nula</t>
        </r>
      </text>
    </comment>
    <comment ref="C906" authorId="0">
      <text>
        <r>
          <rPr>
            <b/>
            <sz val="8"/>
            <rFont val="Tahoma"/>
            <family val="0"/>
          </rPr>
          <t>Autor:</t>
        </r>
        <r>
          <rPr>
            <sz val="8"/>
            <rFont val="Tahoma"/>
            <family val="0"/>
          </rPr>
          <t xml:space="preserve">
cuidado que he cogido el r2 corregido en vez del normal. También se puede tomar el r2 del contraste</t>
        </r>
      </text>
    </comment>
    <comment ref="A956" authorId="0">
      <text>
        <r>
          <rPr>
            <b/>
            <sz val="8"/>
            <rFont val="Tahoma"/>
            <family val="0"/>
          </rPr>
          <t>Autor:</t>
        </r>
        <r>
          <rPr>
            <sz val="8"/>
            <rFont val="Tahoma"/>
            <family val="0"/>
          </rPr>
          <t xml:space="preserve">
construido a través del índice de precisión de la escala</t>
        </r>
      </text>
    </comment>
    <comment ref="A970" authorId="0">
      <text>
        <r>
          <rPr>
            <b/>
            <sz val="8"/>
            <rFont val="Tahoma"/>
            <family val="0"/>
          </rPr>
          <t>Autor:</t>
        </r>
        <r>
          <rPr>
            <sz val="8"/>
            <rFont val="Tahoma"/>
            <family val="0"/>
          </rPr>
          <t xml:space="preserve">
construido a través de la estimación de la máxima varianza de la escala</t>
        </r>
      </text>
    </comment>
    <comment ref="A985" authorId="0">
      <text>
        <r>
          <rPr>
            <b/>
            <sz val="8"/>
            <rFont val="Tahoma"/>
            <family val="0"/>
          </rPr>
          <t>Autor:</t>
        </r>
        <r>
          <rPr>
            <sz val="8"/>
            <rFont val="Tahoma"/>
            <family val="0"/>
          </rPr>
          <t xml:space="preserve">
A partir de las proporciones</t>
        </r>
      </text>
    </comment>
    <comment ref="A1126" authorId="0">
      <text>
        <r>
          <rPr>
            <b/>
            <sz val="8"/>
            <rFont val="Tahoma"/>
            <family val="0"/>
          </rPr>
          <t>Autor:</t>
        </r>
        <r>
          <rPr>
            <sz val="8"/>
            <rFont val="Tahoma"/>
            <family val="0"/>
          </rPr>
          <t xml:space="preserve">
no tengo muy claro si son las varianzas de la población o de la muestra</t>
        </r>
      </text>
    </comment>
    <comment ref="A1152" authorId="0">
      <text>
        <r>
          <rPr>
            <b/>
            <sz val="8"/>
            <rFont val="Tahoma"/>
            <family val="0"/>
          </rPr>
          <t>Autor:</t>
        </r>
        <r>
          <rPr>
            <sz val="8"/>
            <rFont val="Tahoma"/>
            <family val="0"/>
          </rPr>
          <t xml:space="preserve">
Kline (2004)</t>
        </r>
      </text>
    </comment>
    <comment ref="A1169" authorId="0">
      <text>
        <r>
          <rPr>
            <b/>
            <sz val="8"/>
            <rFont val="Tahoma"/>
            <family val="0"/>
          </rPr>
          <t>Autor:</t>
        </r>
        <r>
          <rPr>
            <sz val="8"/>
            <rFont val="Tahoma"/>
            <family val="0"/>
          </rPr>
          <t xml:space="preserve">
Olejnik y Algina(2003)</t>
        </r>
      </text>
    </comment>
    <comment ref="C1173"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A1181" authorId="0">
      <text>
        <r>
          <rPr>
            <b/>
            <sz val="8"/>
            <rFont val="Tahoma"/>
            <family val="0"/>
          </rPr>
          <t>Autor:</t>
        </r>
        <r>
          <rPr>
            <sz val="8"/>
            <rFont val="Tahoma"/>
            <family val="0"/>
          </rPr>
          <t xml:space="preserve">
Olegnik y Algina (2003)
</t>
        </r>
      </text>
    </comment>
    <comment ref="C1185"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C1198"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List>
</comments>
</file>

<file path=xl/comments9.xml><?xml version="1.0" encoding="utf-8"?>
<comments xmlns="http://schemas.openxmlformats.org/spreadsheetml/2006/main">
  <authors>
    <author>Autor</author>
  </authors>
  <commentList>
    <comment ref="A5" authorId="0">
      <text>
        <r>
          <rPr>
            <b/>
            <sz val="8"/>
            <rFont val="Tahoma"/>
            <family val="0"/>
          </rPr>
          <t>Autor:</t>
        </r>
        <r>
          <rPr>
            <sz val="8"/>
            <rFont val="Tahoma"/>
            <family val="0"/>
          </rPr>
          <t xml:space="preserve">
Olegnik y Algina (2003)
</t>
        </r>
      </text>
    </comment>
    <comment ref="C9"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C22"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A119" authorId="0">
      <text>
        <r>
          <rPr>
            <b/>
            <sz val="8"/>
            <rFont val="Tahoma"/>
            <family val="0"/>
          </rPr>
          <t>Autor:</t>
        </r>
        <r>
          <rPr>
            <sz val="8"/>
            <rFont val="Tahoma"/>
            <family val="0"/>
          </rPr>
          <t xml:space="preserve">
Olegnik y Algina (2003)
</t>
        </r>
      </text>
    </comment>
    <comment ref="C123"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C136"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A233" authorId="0">
      <text>
        <r>
          <rPr>
            <b/>
            <sz val="8"/>
            <rFont val="Tahoma"/>
            <family val="0"/>
          </rPr>
          <t>Autor:</t>
        </r>
        <r>
          <rPr>
            <sz val="8"/>
            <rFont val="Tahoma"/>
            <family val="0"/>
          </rPr>
          <t xml:space="preserve">
Olegnik y Algina (2003)
</t>
        </r>
      </text>
    </comment>
    <comment ref="C237"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 ref="C250" authorId="0">
      <text>
        <r>
          <rPr>
            <b/>
            <sz val="8"/>
            <rFont val="Tahoma"/>
            <family val="0"/>
          </rPr>
          <t>Autor:</t>
        </r>
        <r>
          <rPr>
            <sz val="8"/>
            <rFont val="Tahoma"/>
            <family val="0"/>
          </rPr>
          <t xml:space="preserve">
Cuidado porque el SPSS considera que todos los factores son manipulables, por lo que si metemos un blocking factor el valor de la eta al cuadrado parcial que me daría el SPSS no sería correcto.
</t>
        </r>
      </text>
    </comment>
  </commentList>
</comments>
</file>

<file path=xl/sharedStrings.xml><?xml version="1.0" encoding="utf-8"?>
<sst xmlns="http://schemas.openxmlformats.org/spreadsheetml/2006/main" count="3841" uniqueCount="620">
  <si>
    <t>Estadísticos descriptivos</t>
  </si>
  <si>
    <t xml:space="preserve"> </t>
  </si>
  <si>
    <t>N</t>
  </si>
  <si>
    <t>Media</t>
  </si>
  <si>
    <t>Desv. típ.</t>
  </si>
  <si>
    <t>Asimetría</t>
  </si>
  <si>
    <t>Curtosis</t>
  </si>
  <si>
    <t>VESTUARIOS</t>
  </si>
  <si>
    <t>piscina</t>
  </si>
  <si>
    <t>higiene</t>
  </si>
  <si>
    <t>PROFESORAD</t>
  </si>
  <si>
    <t>personal</t>
  </si>
  <si>
    <t>horarios</t>
  </si>
  <si>
    <t>media</t>
  </si>
  <si>
    <t>cal_total</t>
  </si>
  <si>
    <t>cal</t>
  </si>
  <si>
    <t>calidad 1 item</t>
  </si>
  <si>
    <t>Recinto</t>
  </si>
  <si>
    <t xml:space="preserve">media dimensiones </t>
  </si>
  <si>
    <t>muestra</t>
  </si>
  <si>
    <t>población</t>
  </si>
  <si>
    <t>Piscinas</t>
  </si>
  <si>
    <t>Transporte urgente</t>
  </si>
  <si>
    <t>Distribución normal estándar</t>
  </si>
  <si>
    <t>F(Z)</t>
  </si>
  <si>
    <t>Me devuelve el valor de la distribución acumulada. Un efecto tamaño es exactamente equivalente a una puntuación Z de una Normal estándar. Por ejemplo, un efecto tamaño de 0,8 significa que la puntuación de la persona media en el grupo experimental es 0.8 estandar devisciones por encima de la media de la persona en el grupo de control, y de este forma, excede las puntuaciones del 79% del grupo de control.</t>
  </si>
  <si>
    <t>Tamaño del efecto de Cohen</t>
  </si>
  <si>
    <t>tamaño del efecto</t>
  </si>
  <si>
    <t>d</t>
  </si>
  <si>
    <t>media grupo experimental</t>
  </si>
  <si>
    <t>m1</t>
  </si>
  <si>
    <t>media grupo control</t>
  </si>
  <si>
    <t>m2</t>
  </si>
  <si>
    <t>Desviación</t>
  </si>
  <si>
    <t>σ</t>
  </si>
  <si>
    <t>Cohen (1988). Cohen coniusfera que se puede usar la desviación de cuqlaquier grupo cuando las varianazas de los dos grupos son homogéneas</t>
  </si>
  <si>
    <t>Coeficiente de correlación del tamaño del efecto</t>
  </si>
  <si>
    <t>Efecto tamaño binomial (BESD)</t>
  </si>
  <si>
    <t>r</t>
  </si>
  <si>
    <t xml:space="preserve"> Rosenthal y Rubin (1982) omaron ventaja de una propiuedad interesenta de r para sugerir una interpretación más, que llamaron el efecto tamaño binomial (BESD). So el resultado de la meduda es reducida a una simple dicotomía (por ejemplo si una medida está por encima o debajo de un particular calor como l amediana, que podría ser pensado como éxito o fracaso), r puede ser interpretado como la diferencia en las proporciones en cada categoría. Por ejemplo, un efecto tamaño de 0,2 indica una diferencia de 0,10 en esas proporcionas, como sería el caso de si el 45% del grupo de control y el 55% del grupo de tratamiento hubieran alcanzado alguno valor límite de éxito. (ES DECIR QUE EL GRUPO TRATADO CONSIGUE UN 10 &amp; MÁS DE EFICACIA QUE EL GRUPO DE CONTROL)</t>
  </si>
  <si>
    <t>Tamaño de la muestra en el grupo experimental</t>
  </si>
  <si>
    <t>Ne</t>
  </si>
  <si>
    <t>Tamaño de la muestra en el grupo de control</t>
  </si>
  <si>
    <t>Nc</t>
  </si>
  <si>
    <t>Población total</t>
  </si>
  <si>
    <t>Coeficiente de correlación del tamaño del efecto corregido</t>
  </si>
  <si>
    <t>Cuando la muestras son 'euqñas o los tamaños de los grupos están muy separados es aconsejable usar una fórmula mas compleja</t>
  </si>
  <si>
    <t>Fórmula para r (BESD)</t>
  </si>
  <si>
    <t>common Language Efect Size” (CLES)</t>
  </si>
  <si>
    <t>CLES</t>
  </si>
  <si>
    <t>Finalmente McGraw y Wong(1992) han sugerido un “common Language Efect Size” (CLES) statistic, que ellos argumentan que es muy fácilmente endentible por los no estadísticas. Esta es la probailidad de que una puntuación tomada de una muestra aleatoriamente desde una distribución será más grande que una punticaicín tomada de una muestra de una distribución</t>
  </si>
  <si>
    <t>Consiste en calcular la probabilidad de obtener una diferencia entre puntiaciones mayor que cero en la distribución de las diferencias.</t>
  </si>
  <si>
    <t>Varianza grupo experimental</t>
  </si>
  <si>
    <t>Ve</t>
  </si>
  <si>
    <t>Varianza grupo control</t>
  </si>
  <si>
    <t>Vc</t>
  </si>
  <si>
    <t>Z</t>
  </si>
  <si>
    <t>Desviación estnadar del tamaño del efecto</t>
  </si>
  <si>
    <t>σ(d)</t>
  </si>
  <si>
    <t>Nivel de confianza</t>
  </si>
  <si>
    <t>(1-α)</t>
  </si>
  <si>
    <t>α</t>
  </si>
  <si>
    <t>Nivel de probabilidad para dos colas</t>
  </si>
  <si>
    <t>Valor Z</t>
  </si>
  <si>
    <t>Desviación grupo experimental</t>
  </si>
  <si>
    <t>Desviación grupo control</t>
  </si>
  <si>
    <t>Desviación media de dos muestras</t>
  </si>
  <si>
    <t>Otras maneras de medir el efecto tamaño</t>
  </si>
  <si>
    <t>Efecto tamaño</t>
  </si>
  <si>
    <t>Rosenthal y Rosnow (1991)</t>
  </si>
  <si>
    <t>t test</t>
  </si>
  <si>
    <t>t</t>
  </si>
  <si>
    <t>grados de libertad</t>
  </si>
  <si>
    <t>df</t>
  </si>
  <si>
    <t>g de Hedges</t>
  </si>
  <si>
    <t>g</t>
  </si>
  <si>
    <t>Computación de la g de Hedges</t>
  </si>
  <si>
    <t>Delta de Glass</t>
  </si>
  <si>
    <t>Δ</t>
  </si>
  <si>
    <t>Desviación grupo de control</t>
  </si>
  <si>
    <t>Medidas de tamaño del efecto para dos muestras dependientes</t>
  </si>
  <si>
    <t>Puedes usar para computar la desviación entre los grupos las originales desviaciones para los dos medias, y usar el valor del t-test. Como el valor del t-test para muestras pareadas tiene en cuenta la correlación entre las os medidas, el t-test de muestras pareadas será mayor qe el t-test para muestras indepenientes. Por tanto el tamaño del efecto computado usando el t-tes de muestras pareadas será simepre mayor que el tamaño del efcto computado usando t-test de muestras indepdndientes o las originales desviaciones estandasr de las puntiaciones. rosenthal (1991) recomendan usar el t-test pareado en la computación del tamaño del efecto.Sin embargo, Dunlop et al (1996) argumentan que las desviaciones originales esrandar debería ser computadas, ya que si esa desviación es corregida por la cantidad de correlación entre las medidas, el efecto tamaño estimado será una sobrestimación del actual efecto tamaño. Lo mimos problema ocurre si usas un valor F basado en medidas repetidas para computar el valor dle tamaño del efecto.</t>
  </si>
  <si>
    <t>Media muestral 1</t>
  </si>
  <si>
    <t>p(2 colas)</t>
  </si>
  <si>
    <t>Valor contranulo del tamaño del efecto</t>
  </si>
  <si>
    <t>TEcontranulo</t>
  </si>
  <si>
    <t>Rosenthal y Rubin (1994)  han propuesto un nuievo etadístio que demeusta la relatividad de los resultados de una prueba de significación. Es el valor contranulo (counternull value) de un tamaño del efecto obtenido y lo definen como la magnitud no nula del tamaño del efecto que etá apouada por exactamente la misma ccatidad de eidencia que un tamaño del efecto nulo. La utilidad del valor contranulo está en que ayuda a evitar pensar que, ya que la H0 no fue rechazada, la mejor estimación dene ser el valor nulo (generalmente cero). Este nuevo estadístico nos dice que la evidencia en favor de la conclusión de que la mejor estimación del tamaño del efecto es el valor nulo es exactamente la misma que para la conclusión de que el tamaño del efecto es el doble del obtenido..</t>
  </si>
  <si>
    <t>Tamaño del efecto obtenido</t>
  </si>
  <si>
    <t>TEobtenido</t>
  </si>
  <si>
    <t>Tamaño del efecto nulo</t>
  </si>
  <si>
    <t>TEnulo</t>
  </si>
  <si>
    <t>Valor contranulo con correlación</t>
  </si>
  <si>
    <t>Rosnow y Rosenthal (1996)</t>
  </si>
  <si>
    <t>Tamaño del efecto obtenido ®</t>
  </si>
  <si>
    <t xml:space="preserve">r </t>
  </si>
  <si>
    <t>Muestreo probabilístico muestras grandes</t>
  </si>
  <si>
    <t>Varianza de la media</t>
  </si>
  <si>
    <t>Var(media)</t>
  </si>
  <si>
    <t>Tamaño de la población</t>
  </si>
  <si>
    <t>Tamaño de la muestra</t>
  </si>
  <si>
    <t>n</t>
  </si>
  <si>
    <t>Cuasivarianza muestral</t>
  </si>
  <si>
    <t>Error estandar de la media</t>
  </si>
  <si>
    <t>SE(media)</t>
  </si>
  <si>
    <t>Factor de finitud</t>
  </si>
  <si>
    <t>fpc</t>
  </si>
  <si>
    <t>Media muestral</t>
  </si>
  <si>
    <t>Intervalo de confianza para la media (límite inferior)</t>
  </si>
  <si>
    <t>IClow</t>
  </si>
  <si>
    <t>Intervalo de confianza para la media (límite superior)</t>
  </si>
  <si>
    <t>IChigh</t>
  </si>
  <si>
    <t>Valor t</t>
  </si>
  <si>
    <t>Grados de libertad</t>
  </si>
  <si>
    <t>Varianza de la diferencia de medias</t>
  </si>
  <si>
    <t>Tamaño de la muestra 1</t>
  </si>
  <si>
    <r>
      <t>n</t>
    </r>
    <r>
      <rPr>
        <vertAlign val="subscript"/>
        <sz val="10"/>
        <rFont val="Times New Roman"/>
        <family val="1"/>
      </rPr>
      <t>1</t>
    </r>
  </si>
  <si>
    <t>Tamaño de la muestra 2</t>
  </si>
  <si>
    <r>
      <t>n</t>
    </r>
    <r>
      <rPr>
        <vertAlign val="subscript"/>
        <sz val="10"/>
        <rFont val="Times New Roman"/>
        <family val="1"/>
      </rPr>
      <t>2</t>
    </r>
  </si>
  <si>
    <t>Cuasivarianza muestral 1</t>
  </si>
  <si>
    <t>Cuasivarianza muestral 2</t>
  </si>
  <si>
    <t>Error estandar de la diferencia de medias</t>
  </si>
  <si>
    <t>Factor de finitud muestra 1</t>
  </si>
  <si>
    <t>Factor de finitud muestra 2</t>
  </si>
  <si>
    <t>fpc2</t>
  </si>
  <si>
    <t>Media muestral 2</t>
  </si>
  <si>
    <t>Intervalo de confianza para la diferencia de medias (límite inferior)</t>
  </si>
  <si>
    <t>Intervalo de confianza para la diferencia de medias (límite superior)</t>
  </si>
  <si>
    <t>Aplicación de t para comparar más de dos grupos</t>
  </si>
  <si>
    <t>Media tratamiento 1</t>
  </si>
  <si>
    <t>Media tratamiento 2</t>
  </si>
  <si>
    <t>Media tratamiento 3</t>
  </si>
  <si>
    <t>m3</t>
  </si>
  <si>
    <t>Suma de las medias</t>
  </si>
  <si>
    <r>
      <t>∑</t>
    </r>
    <r>
      <rPr>
        <sz val="10"/>
        <rFont val="Times New Roman"/>
        <family val="1"/>
      </rPr>
      <t>m</t>
    </r>
    <r>
      <rPr>
        <vertAlign val="subscript"/>
        <sz val="10"/>
        <rFont val="Times New Roman"/>
        <family val="1"/>
      </rPr>
      <t>i</t>
    </r>
  </si>
  <si>
    <t>Varianza de error entre sujetos</t>
  </si>
  <si>
    <r>
      <t>S</t>
    </r>
    <r>
      <rPr>
        <vertAlign val="superscript"/>
        <sz val="10"/>
        <rFont val="Times New Roman"/>
        <family val="1"/>
      </rPr>
      <t>2</t>
    </r>
  </si>
  <si>
    <t>Tamaño tratamiento 1</t>
  </si>
  <si>
    <t>Tamaño tratamiento 2</t>
  </si>
  <si>
    <t>Tamaño tratamiento 3</t>
  </si>
  <si>
    <r>
      <t>n</t>
    </r>
    <r>
      <rPr>
        <vertAlign val="subscript"/>
        <sz val="10"/>
        <rFont val="Times New Roman"/>
        <family val="1"/>
      </rPr>
      <t>3</t>
    </r>
  </si>
  <si>
    <t>Suma de tamaño tratamientos</t>
  </si>
  <si>
    <r>
      <t>∑</t>
    </r>
    <r>
      <rPr>
        <sz val="10"/>
        <rFont val="Times New Roman"/>
        <family val="1"/>
      </rPr>
      <t>n</t>
    </r>
    <r>
      <rPr>
        <vertAlign val="subscript"/>
        <sz val="10"/>
        <rFont val="Times New Roman"/>
        <family val="1"/>
      </rPr>
      <t>i</t>
    </r>
  </si>
  <si>
    <t>Grados de libertad para el contraste t</t>
  </si>
  <si>
    <t>Mismos que para  S2</t>
  </si>
  <si>
    <t>Correlación del constraste</t>
  </si>
  <si>
    <r>
      <t>r</t>
    </r>
    <r>
      <rPr>
        <vertAlign val="subscript"/>
        <sz val="10"/>
        <rFont val="Times New Roman"/>
        <family val="1"/>
      </rPr>
      <t>Y</t>
    </r>
    <r>
      <rPr>
        <vertAlign val="subscript"/>
        <sz val="10"/>
        <rFont val="Arial"/>
        <family val="2"/>
      </rPr>
      <t>λ</t>
    </r>
    <r>
      <rPr>
        <vertAlign val="subscript"/>
        <sz val="10"/>
        <rFont val="Times New Roman"/>
        <family val="1"/>
      </rPr>
      <t>-NC</t>
    </r>
  </si>
  <si>
    <t>Correlación parcial entre un conjunto de coeficientes e constraste (es decir, los pesos lambda) y puntiaciones individuales de la variables dependiente Y con todas las fuentes de no contraste entre grupos (NC) parcialmente quitadas</t>
  </si>
  <si>
    <t>Suma de cuadrados del contraste</t>
  </si>
  <si>
    <t>SScontraste</t>
  </si>
  <si>
    <t>Suma de cuadrados dentro</t>
  </si>
  <si>
    <t>SSwithin</t>
  </si>
  <si>
    <t>Suma de cuadrados total</t>
  </si>
  <si>
    <t>SStotal</t>
  </si>
  <si>
    <t>Correlación del tamaño del efecto</t>
  </si>
  <si>
    <r>
      <t>r</t>
    </r>
    <r>
      <rPr>
        <vertAlign val="subscript"/>
        <sz val="10"/>
        <rFont val="Times New Roman"/>
        <family val="1"/>
      </rPr>
      <t>Y</t>
    </r>
    <r>
      <rPr>
        <vertAlign val="subscript"/>
        <sz val="10"/>
        <rFont val="Arial"/>
        <family val="2"/>
      </rPr>
      <t>λ</t>
    </r>
  </si>
  <si>
    <t>Correlación de alerta</t>
  </si>
  <si>
    <r>
      <t>r</t>
    </r>
    <r>
      <rPr>
        <vertAlign val="subscript"/>
        <sz val="10"/>
        <rFont val="Times New Roman"/>
        <family val="1"/>
      </rPr>
      <t>M</t>
    </r>
    <r>
      <rPr>
        <vertAlign val="subscript"/>
        <sz val="10"/>
        <rFont val="Arial"/>
        <family val="2"/>
      </rPr>
      <t>λ</t>
    </r>
  </si>
  <si>
    <t>Correlación entre los coeficientes de contraste (lambda) y las medias de grupo. Puede señalar tendencias globales de interes, y cuando se eleva al cuadrado nos alerta de la proporción de suma de cuadrados entre condiciones tenida en cuenta porun contraste particular.</t>
  </si>
  <si>
    <t>Correlación del constraste cuando tenemos las t</t>
  </si>
  <si>
    <r>
      <t>r</t>
    </r>
    <r>
      <rPr>
        <vertAlign val="subscript"/>
        <sz val="10"/>
        <color indexed="53"/>
        <rFont val="Times New Roman"/>
        <family val="1"/>
      </rPr>
      <t>Y</t>
    </r>
    <r>
      <rPr>
        <vertAlign val="subscript"/>
        <sz val="10"/>
        <color indexed="53"/>
        <rFont val="Arial"/>
        <family val="2"/>
      </rPr>
      <t>λ</t>
    </r>
    <r>
      <rPr>
        <vertAlign val="subscript"/>
        <sz val="10"/>
        <color indexed="53"/>
        <rFont val="Times New Roman"/>
        <family val="1"/>
      </rPr>
      <t>-NC</t>
    </r>
  </si>
  <si>
    <t>Coeficiente de Hedges</t>
  </si>
  <si>
    <t>La d de Cohen es una medida descriptiva mientras que la g de Hedges es una medida inferencial</t>
  </si>
  <si>
    <t xml:space="preserve">d </t>
  </si>
  <si>
    <t>Tamaño de la muestra total</t>
  </si>
  <si>
    <t>Grados de libertad para MSE</t>
  </si>
  <si>
    <t>Varainza pooled de la población</t>
  </si>
  <si>
    <r>
      <t>σ</t>
    </r>
    <r>
      <rPr>
        <vertAlign val="subscript"/>
        <sz val="10"/>
        <color indexed="57"/>
        <rFont val="Times New Roman"/>
        <family val="1"/>
      </rPr>
      <t>pooled</t>
    </r>
  </si>
  <si>
    <t>Cuasivarianza pooled de la muesta</t>
  </si>
  <si>
    <r>
      <t>S</t>
    </r>
    <r>
      <rPr>
        <vertAlign val="subscript"/>
        <sz val="10"/>
        <color indexed="57"/>
        <rFont val="Times New Roman"/>
        <family val="1"/>
      </rPr>
      <t>pooled</t>
    </r>
  </si>
  <si>
    <t>Correlación contranula</t>
  </si>
  <si>
    <r>
      <t>r</t>
    </r>
    <r>
      <rPr>
        <vertAlign val="subscript"/>
        <sz val="10"/>
        <rFont val="Times New Roman"/>
        <family val="1"/>
      </rPr>
      <t>contranula</t>
    </r>
  </si>
  <si>
    <t>Desviación típ.</t>
  </si>
  <si>
    <t>Error típ. de la media</t>
  </si>
  <si>
    <t>F</t>
  </si>
  <si>
    <t>Sig.</t>
  </si>
  <si>
    <t>gl</t>
  </si>
  <si>
    <t>Sig. (bilateral)</t>
  </si>
  <si>
    <t>95% Intervalo de confianza para la diferencia</t>
  </si>
  <si>
    <t>Inferior</t>
  </si>
  <si>
    <t>Superior</t>
  </si>
  <si>
    <t>Contraste de Levene sobre la igualdad de las varianzas error(a)</t>
  </si>
  <si>
    <t>gl1</t>
  </si>
  <si>
    <t>gl2</t>
  </si>
  <si>
    <t>Significación</t>
  </si>
  <si>
    <t>Contrasta la hipótesis nula de que la varianza error de la variable dependiente es igual a lo largo de todos los grupos.</t>
  </si>
  <si>
    <t>a</t>
  </si>
  <si>
    <t>Diseño: Intercept+p1</t>
  </si>
  <si>
    <t>Pruebas de los efectos inter-sujetos</t>
  </si>
  <si>
    <t>Fuente</t>
  </si>
  <si>
    <t>Suma de cuadrados tipo III</t>
  </si>
  <si>
    <t>Media cuadrática</t>
  </si>
  <si>
    <t>Eta al cuadrado parcial</t>
  </si>
  <si>
    <t>Parámetro de no centralidad</t>
  </si>
  <si>
    <t>Potencia observada(a)</t>
  </si>
  <si>
    <t>Modelo corregido</t>
  </si>
  <si>
    <t>Intersección</t>
  </si>
  <si>
    <t>p1</t>
  </si>
  <si>
    <t>Error</t>
  </si>
  <si>
    <t>Total</t>
  </si>
  <si>
    <t>Total corregida</t>
  </si>
  <si>
    <t>Calculado con alfa = ,05</t>
  </si>
  <si>
    <t>b</t>
  </si>
  <si>
    <t>Población</t>
  </si>
  <si>
    <r>
      <t>r</t>
    </r>
    <r>
      <rPr>
        <vertAlign val="superscript"/>
        <sz val="10"/>
        <color indexed="18"/>
        <rFont val="Times New Roman"/>
        <family val="1"/>
      </rPr>
      <t>2</t>
    </r>
  </si>
  <si>
    <r>
      <t>σ</t>
    </r>
    <r>
      <rPr>
        <vertAlign val="subscript"/>
        <sz val="10"/>
        <color indexed="18"/>
        <rFont val="Times New Roman"/>
        <family val="1"/>
      </rPr>
      <t>e</t>
    </r>
  </si>
  <si>
    <r>
      <t>σ</t>
    </r>
    <r>
      <rPr>
        <vertAlign val="subscript"/>
        <sz val="10"/>
        <color indexed="18"/>
        <rFont val="Times New Roman"/>
        <family val="1"/>
      </rPr>
      <t>c</t>
    </r>
  </si>
  <si>
    <r>
      <t>σ</t>
    </r>
    <r>
      <rPr>
        <vertAlign val="subscript"/>
        <sz val="10"/>
        <color indexed="18"/>
        <rFont val="Times New Roman"/>
        <family val="1"/>
      </rPr>
      <t>pooled</t>
    </r>
  </si>
  <si>
    <r>
      <t>σ</t>
    </r>
    <r>
      <rPr>
        <b/>
        <vertAlign val="subscript"/>
        <sz val="10"/>
        <color indexed="18"/>
        <rFont val="Times New Roman"/>
        <family val="1"/>
      </rPr>
      <t>e</t>
    </r>
  </si>
  <si>
    <r>
      <t>σ</t>
    </r>
    <r>
      <rPr>
        <b/>
        <vertAlign val="subscript"/>
        <sz val="10"/>
        <color indexed="18"/>
        <rFont val="Times New Roman"/>
        <family val="1"/>
      </rPr>
      <t>c</t>
    </r>
  </si>
  <si>
    <t xml:space="preserve">Intervalo de confianza para el tamaño del efecto </t>
  </si>
  <si>
    <t>Intervalos de confianza  para el tamaño del efecto</t>
  </si>
  <si>
    <t xml:space="preserve">Rosenthal y Rosnow (1991). </t>
  </si>
  <si>
    <t>Rosnow y Rosenthal (1996). Mientras que la d de Cohen es una meidad descrptiva la H de Hedges es una medidad inferencial.</t>
  </si>
  <si>
    <t>grados de libertad para el error cuadrático medio</t>
  </si>
  <si>
    <t>Otra forma de computarla</t>
  </si>
  <si>
    <t>Media cuadrática del error</t>
  </si>
  <si>
    <r>
      <t>MS</t>
    </r>
    <r>
      <rPr>
        <b/>
        <vertAlign val="subscript"/>
        <sz val="10"/>
        <color indexed="18"/>
        <rFont val="Times New Roman"/>
        <family val="1"/>
      </rPr>
      <t>within</t>
    </r>
  </si>
  <si>
    <r>
      <t>r</t>
    </r>
    <r>
      <rPr>
        <i/>
        <vertAlign val="subscript"/>
        <sz val="10"/>
        <color indexed="18"/>
        <rFont val="Times New Roman"/>
        <family val="1"/>
      </rPr>
      <t>contranulo</t>
    </r>
  </si>
  <si>
    <t>Varianza</t>
  </si>
  <si>
    <r>
      <t>s</t>
    </r>
    <r>
      <rPr>
        <vertAlign val="superscript"/>
        <sz val="10"/>
        <color indexed="62"/>
        <rFont val="Times New Roman"/>
        <family val="1"/>
      </rPr>
      <t>2</t>
    </r>
    <r>
      <rPr>
        <vertAlign val="subscript"/>
        <sz val="10"/>
        <color indexed="62"/>
        <rFont val="Times New Roman"/>
        <family val="1"/>
      </rPr>
      <t>x</t>
    </r>
  </si>
  <si>
    <t>Muestreo probabilístico muestras grandes sin considerar el fpc</t>
  </si>
  <si>
    <t>Var</t>
  </si>
  <si>
    <t>Error muestral</t>
  </si>
  <si>
    <t>Fórmula del error muestral para la media (conocida varianza)</t>
  </si>
  <si>
    <t>Proporción de individuos que poseen la información</t>
  </si>
  <si>
    <t xml:space="preserve">P </t>
  </si>
  <si>
    <t>Proporción de individuos que no poseen la información</t>
  </si>
  <si>
    <t>Q</t>
  </si>
  <si>
    <t>error</t>
  </si>
  <si>
    <t>Amplitud del intervalo de confianza</t>
  </si>
  <si>
    <t>Δ IC</t>
  </si>
  <si>
    <t>Error del amplitud del intervalo respecto a la media muestral</t>
  </si>
  <si>
    <t xml:space="preserve"> Error Δ IC</t>
  </si>
  <si>
    <t>% error del amplitud del intervalo respecto a la media muestral</t>
  </si>
  <si>
    <t xml:space="preserve"> % error Δ IC</t>
  </si>
  <si>
    <t>Error de la estimación</t>
  </si>
  <si>
    <t>Error estim.</t>
  </si>
  <si>
    <t xml:space="preserve">e </t>
  </si>
  <si>
    <t>% error muestral</t>
  </si>
  <si>
    <t>% e</t>
  </si>
  <si>
    <t>Escala de medida</t>
  </si>
  <si>
    <t>Escala</t>
  </si>
  <si>
    <t>% precisión sobre la escala de medida</t>
  </si>
  <si>
    <t>% precisión</t>
  </si>
  <si>
    <t>Imprecisión sobre la escala de medida</t>
  </si>
  <si>
    <t>% imprecisión sobre la escala de medida</t>
  </si>
  <si>
    <t>Imrecisión</t>
  </si>
  <si>
    <t>% imprecisión</t>
  </si>
  <si>
    <t>% error muestral sobre la estimación de la media</t>
  </si>
  <si>
    <t>Fórmula del error muestral para la media (desconocida varianza)</t>
  </si>
  <si>
    <t>Error  de la estimación</t>
  </si>
  <si>
    <t>Tiene que ser la mitad del erro de la amplitud del intervalo de la media</t>
  </si>
  <si>
    <t>Fórmula del error muestral para la media (deconocida varianza)</t>
  </si>
  <si>
    <t>Limite inferior</t>
  </si>
  <si>
    <t>Limite superior</t>
  </si>
  <si>
    <t>suma</t>
  </si>
  <si>
    <t>Cuasivarianza</t>
  </si>
  <si>
    <t>Máxima varianza de la escala</t>
  </si>
  <si>
    <t>Hay que meter la máxima varianza dela escala. La asunción es muy poco realista y muy conservadora</t>
  </si>
  <si>
    <t>Varianza (estimada a partir de la cuasivarianza muestral)</t>
  </si>
  <si>
    <t>Error de la estimación (error absoluto)</t>
  </si>
  <si>
    <t>Error muestral (error relativo)</t>
  </si>
  <si>
    <t>Muestreo probabilístico muestras pequeñas (conocida varianza)</t>
  </si>
  <si>
    <r>
      <t>s</t>
    </r>
    <r>
      <rPr>
        <vertAlign val="superscript"/>
        <sz val="10"/>
        <color indexed="12"/>
        <rFont val="Times New Roman"/>
        <family val="1"/>
      </rPr>
      <t>2</t>
    </r>
    <r>
      <rPr>
        <vertAlign val="subscript"/>
        <sz val="10"/>
        <color indexed="12"/>
        <rFont val="Times New Roman"/>
        <family val="1"/>
      </rPr>
      <t>x</t>
    </r>
  </si>
  <si>
    <t>Intervalo de confianza para la diferencia de medias (t) (sin fpc) asumiendo varianzas iguales</t>
  </si>
  <si>
    <t>Intervalo de confianza para la diferencia de medias (t) (con fpc) asumiendo varianzas iguales</t>
  </si>
  <si>
    <r>
      <t>n</t>
    </r>
    <r>
      <rPr>
        <vertAlign val="subscript"/>
        <sz val="10"/>
        <color indexed="12"/>
        <rFont val="Times New Roman"/>
        <family val="1"/>
      </rPr>
      <t>1</t>
    </r>
  </si>
  <si>
    <r>
      <t>n</t>
    </r>
    <r>
      <rPr>
        <vertAlign val="subscript"/>
        <sz val="10"/>
        <color indexed="12"/>
        <rFont val="Times New Roman"/>
        <family val="1"/>
      </rPr>
      <t>2</t>
    </r>
  </si>
  <si>
    <r>
      <t>s</t>
    </r>
    <r>
      <rPr>
        <vertAlign val="superscript"/>
        <sz val="10"/>
        <color indexed="12"/>
        <rFont val="Times New Roman"/>
        <family val="1"/>
      </rPr>
      <t>2</t>
    </r>
    <r>
      <rPr>
        <vertAlign val="subscript"/>
        <sz val="10"/>
        <color indexed="12"/>
        <rFont val="Times New Roman"/>
        <family val="1"/>
      </rPr>
      <t>x1</t>
    </r>
  </si>
  <si>
    <r>
      <t>s</t>
    </r>
    <r>
      <rPr>
        <vertAlign val="superscript"/>
        <sz val="10"/>
        <color indexed="12"/>
        <rFont val="Times New Roman"/>
        <family val="1"/>
      </rPr>
      <t>2</t>
    </r>
    <r>
      <rPr>
        <vertAlign val="subscript"/>
        <sz val="10"/>
        <color indexed="12"/>
        <rFont val="Times New Roman"/>
        <family val="1"/>
      </rPr>
      <t>x2</t>
    </r>
  </si>
  <si>
    <r>
      <t>fpc</t>
    </r>
    <r>
      <rPr>
        <vertAlign val="subscript"/>
        <sz val="10"/>
        <color indexed="12"/>
        <rFont val="Times New Roman"/>
        <family val="1"/>
      </rPr>
      <t>1</t>
    </r>
  </si>
  <si>
    <r>
      <t>media</t>
    </r>
    <r>
      <rPr>
        <vertAlign val="subscript"/>
        <sz val="10"/>
        <color indexed="12"/>
        <rFont val="Times New Roman"/>
        <family val="1"/>
      </rPr>
      <t>1</t>
    </r>
  </si>
  <si>
    <r>
      <t>media</t>
    </r>
    <r>
      <rPr>
        <vertAlign val="subscript"/>
        <sz val="10"/>
        <color indexed="12"/>
        <rFont val="Times New Roman"/>
        <family val="1"/>
      </rPr>
      <t>2</t>
    </r>
  </si>
  <si>
    <t>Correción de la cuasivarianza muestral 1</t>
  </si>
  <si>
    <t>Correción de la cuasivarianza muestral 2</t>
  </si>
  <si>
    <t>(N-n)/N</t>
  </si>
  <si>
    <t>Var1</t>
  </si>
  <si>
    <t>Var2</t>
  </si>
  <si>
    <t>Varianza de la media 1*n</t>
  </si>
  <si>
    <t>Varianza de la media 2 * n</t>
  </si>
  <si>
    <t>Mucho cuidado porque no estoy seguro si hay que restarle 1 al tamaño delas muestras. Se supone que si el SPSS estima la cuasivarianza muestral no habría por qué quitarle 1??</t>
  </si>
  <si>
    <t>SE(dif.medias)</t>
  </si>
  <si>
    <t>SE(dif.media)</t>
  </si>
  <si>
    <t>Var(dif.media)</t>
  </si>
  <si>
    <t>Var(dis.media)</t>
  </si>
  <si>
    <t>Valor</t>
  </si>
  <si>
    <t>Gl de la hipótesis</t>
  </si>
  <si>
    <t>Gl del error</t>
  </si>
  <si>
    <t>Traza de Pillai</t>
  </si>
  <si>
    <t>Lambda de Wilks</t>
  </si>
  <si>
    <t>Traza de Hotelling</t>
  </si>
  <si>
    <t>Raíz mayor de Roy</t>
  </si>
  <si>
    <t>Estadístico exacto</t>
  </si>
  <si>
    <t>Variable dependiente</t>
  </si>
  <si>
    <t>Distancia de Mahalanobis</t>
  </si>
  <si>
    <r>
      <t>D</t>
    </r>
    <r>
      <rPr>
        <vertAlign val="superscript"/>
        <sz val="10"/>
        <rFont val="Times New Roman"/>
        <family val="1"/>
      </rPr>
      <t>2</t>
    </r>
    <r>
      <rPr>
        <vertAlign val="subscript"/>
        <sz val="10"/>
        <rFont val="Times New Roman"/>
        <family val="1"/>
      </rPr>
      <t>M</t>
    </r>
  </si>
  <si>
    <t>Λ</t>
  </si>
  <si>
    <t>Grados de libertad within groups ANOVA</t>
  </si>
  <si>
    <t>Tamaño de la mues</t>
  </si>
  <si>
    <t>Eta al cuadrado parcial multivariante</t>
  </si>
  <si>
    <r>
      <t>η</t>
    </r>
    <r>
      <rPr>
        <vertAlign val="superscript"/>
        <sz val="10"/>
        <rFont val="Times New Roman"/>
        <family val="1"/>
      </rPr>
      <t>2</t>
    </r>
  </si>
  <si>
    <t>Puede interpretarse como el porcentaje de varianza explicada en la función discriminante</t>
  </si>
  <si>
    <t>Correlación bivariada de eta al cuadrado</t>
  </si>
  <si>
    <t>MANOVA con dos variables dependientes y una independiente (2 grupos)</t>
  </si>
  <si>
    <t>Eta al cuadrado parcial univariante grupo 1</t>
  </si>
  <si>
    <t>Eta al cuadrado parcial univariante grupo 2</t>
  </si>
  <si>
    <r>
      <t>η</t>
    </r>
    <r>
      <rPr>
        <vertAlign val="superscript"/>
        <sz val="10"/>
        <rFont val="Times New Roman"/>
        <family val="1"/>
      </rPr>
      <t>2</t>
    </r>
    <r>
      <rPr>
        <vertAlign val="subscript"/>
        <sz val="10"/>
        <rFont val="Times New Roman"/>
        <family val="1"/>
      </rPr>
      <t>1</t>
    </r>
  </si>
  <si>
    <r>
      <t>η</t>
    </r>
    <r>
      <rPr>
        <vertAlign val="superscript"/>
        <sz val="10"/>
        <rFont val="Times New Roman"/>
        <family val="1"/>
      </rPr>
      <t>2</t>
    </r>
    <r>
      <rPr>
        <vertAlign val="subscript"/>
        <sz val="10"/>
        <rFont val="Times New Roman"/>
        <family val="1"/>
      </rPr>
      <t>2</t>
    </r>
  </si>
  <si>
    <t>Correlación bivariada de eta al cuadrado grupo 1</t>
  </si>
  <si>
    <t>Correlación bivariada de eta al cuadrado grupo 2</t>
  </si>
  <si>
    <t>Corr Total</t>
  </si>
  <si>
    <t>Corr1</t>
  </si>
  <si>
    <t>Corr2</t>
  </si>
  <si>
    <t>Redundancia</t>
  </si>
  <si>
    <t>Se refiere a cuanto de la actual varianza en un conjunto de variables es explicada por el otro conjunto. Puede ser más baja que la eta al cuadrado multivariante porque los dos estadísticos tienen diferente spuntos de referencia. La reduncncia se refiere a la proporción de varianza extratida en el conjunto de variables resultado por el factor dicotomico que representa el miembro de grupo. La eta al cuadrado multivariante representa la porpoción de varianza compartido entre el miembro de grupo y la función discriminante</t>
  </si>
  <si>
    <t>Anova</t>
  </si>
  <si>
    <t>Suma de cuadrados del factor (between groups)</t>
  </si>
  <si>
    <t>Suma de cuadrados del error (within groups)</t>
  </si>
  <si>
    <t>SSb</t>
  </si>
  <si>
    <t>SSw</t>
  </si>
  <si>
    <t>SST</t>
  </si>
  <si>
    <r>
      <t>ω</t>
    </r>
    <r>
      <rPr>
        <vertAlign val="superscript"/>
        <sz val="10"/>
        <rFont val="Times New Roman"/>
        <family val="1"/>
      </rPr>
      <t>2</t>
    </r>
  </si>
  <si>
    <t>Grados de libertad del factor</t>
  </si>
  <si>
    <t>Omega al cuadrado parcial</t>
  </si>
  <si>
    <r>
      <t>df</t>
    </r>
    <r>
      <rPr>
        <vertAlign val="subscript"/>
        <sz val="10"/>
        <rFont val="Times New Roman"/>
        <family val="1"/>
      </rPr>
      <t>factor</t>
    </r>
  </si>
  <si>
    <t>Número de grupos</t>
  </si>
  <si>
    <t>grupos</t>
  </si>
  <si>
    <r>
      <t>MS</t>
    </r>
    <r>
      <rPr>
        <vertAlign val="subscript"/>
        <sz val="10"/>
        <rFont val="Times New Roman"/>
        <family val="1"/>
      </rPr>
      <t>s/cells</t>
    </r>
  </si>
  <si>
    <t>Grados de libertad del error</t>
  </si>
  <si>
    <r>
      <t>df</t>
    </r>
    <r>
      <rPr>
        <vertAlign val="subscript"/>
        <sz val="10"/>
        <rFont val="Times New Roman"/>
        <family val="1"/>
      </rPr>
      <t xml:space="preserve">error </t>
    </r>
  </si>
  <si>
    <t>IC low</t>
  </si>
  <si>
    <t>IC high</t>
  </si>
  <si>
    <t>Fern y Monroe (1996)</t>
  </si>
  <si>
    <t>Cohen d</t>
  </si>
  <si>
    <t>Estadístico t para la d de Cohen</t>
  </si>
  <si>
    <t>Eta al cuadrado</t>
  </si>
  <si>
    <t>Epsilon al cuadrado</t>
  </si>
  <si>
    <r>
      <t>ε</t>
    </r>
    <r>
      <rPr>
        <vertAlign val="superscript"/>
        <sz val="10"/>
        <rFont val="Arial"/>
        <family val="2"/>
      </rPr>
      <t>2</t>
    </r>
  </si>
  <si>
    <t>Omega al cuadrado</t>
  </si>
  <si>
    <t>Puede estar sesgado por el tamaño de la muestra</t>
  </si>
  <si>
    <t>Pero también han sido critucado por Glass y Hakstian (1969) y dicen que probablemente esa sesgado.</t>
  </si>
  <si>
    <t>Grados de libertad totales</t>
  </si>
  <si>
    <t>dftotales</t>
  </si>
  <si>
    <t>No sé si estos grados de libertad están bien calculados así</t>
  </si>
  <si>
    <t>Medidas repetidas</t>
  </si>
  <si>
    <t xml:space="preserve">Medida: MEASURE_1 </t>
  </si>
  <si>
    <t>cal_global</t>
  </si>
  <si>
    <t>Prueba de esfericidad de Mauchly(b)</t>
  </si>
  <si>
    <t>Efecto intra-sujetos</t>
  </si>
  <si>
    <t>W de Mauchly</t>
  </si>
  <si>
    <t>Chi-cuadrado aprox.</t>
  </si>
  <si>
    <t>Epsilon(a)</t>
  </si>
  <si>
    <t>Greenhouse-Geisser</t>
  </si>
  <si>
    <t>Huynh-Feldt</t>
  </si>
  <si>
    <t>Límite-inferior</t>
  </si>
  <si>
    <t>.</t>
  </si>
  <si>
    <t>Contrasta la hipótesis nula de que la matriz de covarianza error de las variables dependientes transformadas es proporcional a una matriz identidad.</t>
  </si>
  <si>
    <t>Puede usarse para corregir los grados de libertad en las pruebas de significación promediadas. Las pruebas corregidas se muestran en la tabla Pruebas de los efectos inter-sujetos.</t>
  </si>
  <si>
    <t xml:space="preserve">Variable transformada: Promedio </t>
  </si>
  <si>
    <t>Correlaciones de muestras relacionadas</t>
  </si>
  <si>
    <t>Correlación</t>
  </si>
  <si>
    <t>Par 1</t>
  </si>
  <si>
    <t>cal y cal_global</t>
  </si>
  <si>
    <t>Prueba de muestras relacionadas</t>
  </si>
  <si>
    <t>Diferencias relacionadas</t>
  </si>
  <si>
    <t>cal - cal_global</t>
  </si>
  <si>
    <t>Pruebas de efectos intra-sujetos.</t>
  </si>
  <si>
    <t>Esfericidad asumida</t>
  </si>
  <si>
    <t>Cal 1 item</t>
  </si>
  <si>
    <t>Cal media</t>
  </si>
  <si>
    <t>Tamaño</t>
  </si>
  <si>
    <t>Error estandar</t>
  </si>
  <si>
    <t>Factor de corrección de la varianza intrasujetos para comparar el tamaño del efecto</t>
  </si>
  <si>
    <t>Suma de varianzas</t>
  </si>
  <si>
    <t>media factor 1</t>
  </si>
  <si>
    <t>media factor 2</t>
  </si>
  <si>
    <t>Tamaño factor 1</t>
  </si>
  <si>
    <t>Varianza factor 1</t>
  </si>
  <si>
    <t>Desviación factor 1</t>
  </si>
  <si>
    <t>Desviación factor 2</t>
  </si>
  <si>
    <t>Error estandar factor 1</t>
  </si>
  <si>
    <t>Error estandar factor 2</t>
  </si>
  <si>
    <t>Varianza factor 2</t>
  </si>
  <si>
    <t>Eta al cuadrado parcial corregida para la comparación con diseños entre sujetos</t>
  </si>
  <si>
    <t>valor menos la media</t>
  </si>
  <si>
    <t>desvia2 intragrupos</t>
  </si>
  <si>
    <t>Media total</t>
  </si>
  <si>
    <t>media menos media total al cuadrado</t>
  </si>
  <si>
    <t>suma de cuadrados entre grupos</t>
  </si>
  <si>
    <t>que es la suma de cuadrados intra grupos de toda la vida</t>
  </si>
  <si>
    <t>suma de cuadrados total</t>
  </si>
  <si>
    <t>Omega al cuadrado parcial corregida</t>
  </si>
  <si>
    <r>
      <t>η</t>
    </r>
    <r>
      <rPr>
        <vertAlign val="superscript"/>
        <sz val="10"/>
        <rFont val="Times New Roman"/>
        <family val="1"/>
      </rPr>
      <t>2</t>
    </r>
    <r>
      <rPr>
        <vertAlign val="subscript"/>
        <sz val="10"/>
        <rFont val="Times New Roman"/>
        <family val="1"/>
      </rPr>
      <t>corregida</t>
    </r>
  </si>
  <si>
    <r>
      <t>ω</t>
    </r>
    <r>
      <rPr>
        <vertAlign val="superscript"/>
        <sz val="10"/>
        <color indexed="10"/>
        <rFont val="Times New Roman"/>
        <family val="1"/>
      </rPr>
      <t>2</t>
    </r>
    <r>
      <rPr>
        <vertAlign val="subscript"/>
        <sz val="10"/>
        <color indexed="10"/>
        <rFont val="Times New Roman"/>
        <family val="1"/>
      </rPr>
      <t>corregida</t>
    </r>
  </si>
  <si>
    <t>Varianza no relacionada con el tratamiento</t>
  </si>
  <si>
    <t>Grados de libertad del efecto</t>
  </si>
  <si>
    <t>Media cuadrática del error sin corregir</t>
  </si>
  <si>
    <t>Intervalo de confianza para la diferencia de medias (t) (sin fpc) no asumiendo varianzas iguales</t>
  </si>
  <si>
    <t>Numerador grados de libertad</t>
  </si>
  <si>
    <t>Num df</t>
  </si>
  <si>
    <t>Denominador grados de libertad</t>
  </si>
  <si>
    <t>Den df</t>
  </si>
  <si>
    <t>difernecias</t>
  </si>
  <si>
    <t>Number</t>
  </si>
  <si>
    <t>Description of Step</t>
  </si>
  <si>
    <t xml:space="preserve">Specific Example with Between Groups t-test </t>
  </si>
  <si>
    <t>1.</t>
  </si>
  <si>
    <t>Know the hypothesis you are testing. In this case, we are interested in the average difference between the number of visits before and after the intervention. In the population, that would be</t>
  </si>
  <si>
    <t>. If there is not change, the average difference will be 0, if there is some change it will be larger or smaller than 0.</t>
  </si>
  <si>
    <t>2.</t>
  </si>
  <si>
    <t>Use the formula, finding the value of the standard error estimate first. Find the variance of difference scores (</t>
  </si>
  <si>
    <t>), then the standard error of the differences (</t>
  </si>
  <si>
    <t>). (There are two equivalent formulas for</t>
  </si>
  <si>
    <t>and you can use whichever you prefer.)</t>
  </si>
  <si>
    <t>stands for the difference between the before and after score for each individual, and</t>
  </si>
  <si>
    <t>stands for the average of all of these differences (</t>
  </si>
  <si>
    <t>).</t>
  </si>
  <si>
    <t>, or</t>
  </si>
  <si>
    <t>3.</t>
  </si>
  <si>
    <t>Check to see if the calculated value indicates significance. To do this: determine the degrees of freedom, and look up the critical value in the table in the back of the book for alpha=.05 (in Daniel's tables, the subscript value .975 is used). If the value you calculated exceeds the value in the table, it is significant (i.e., the null hypothesis is rejected).</t>
  </si>
  <si>
    <t>d.f. = n - 1</t>
  </si>
  <si>
    <t>4.</t>
  </si>
  <si>
    <t>Calculate the 95% confidence interval. Two values are used: (1) the low value, which subtracts the product of the critical value times the standard error, and (2) the high value, which adds that product.</t>
  </si>
  <si>
    <t>Desvia2</t>
  </si>
  <si>
    <r>
      <t>n</t>
    </r>
    <r>
      <rPr>
        <vertAlign val="subscript"/>
        <sz val="10"/>
        <color indexed="18"/>
        <rFont val="Times New Roman"/>
        <family val="1"/>
      </rPr>
      <t>1</t>
    </r>
  </si>
  <si>
    <r>
      <t>n</t>
    </r>
    <r>
      <rPr>
        <vertAlign val="subscript"/>
        <sz val="10"/>
        <color indexed="18"/>
        <rFont val="Times New Roman"/>
        <family val="1"/>
      </rPr>
      <t>2</t>
    </r>
  </si>
  <si>
    <r>
      <t>s</t>
    </r>
    <r>
      <rPr>
        <vertAlign val="superscript"/>
        <sz val="10"/>
        <color indexed="18"/>
        <rFont val="Times New Roman"/>
        <family val="1"/>
      </rPr>
      <t>2</t>
    </r>
    <r>
      <rPr>
        <vertAlign val="subscript"/>
        <sz val="10"/>
        <color indexed="18"/>
        <rFont val="Times New Roman"/>
        <family val="1"/>
      </rPr>
      <t>x1</t>
    </r>
  </si>
  <si>
    <r>
      <t>s</t>
    </r>
    <r>
      <rPr>
        <vertAlign val="superscript"/>
        <sz val="10"/>
        <color indexed="18"/>
        <rFont val="Times New Roman"/>
        <family val="1"/>
      </rPr>
      <t>2</t>
    </r>
    <r>
      <rPr>
        <vertAlign val="subscript"/>
        <sz val="10"/>
        <color indexed="18"/>
        <rFont val="Times New Roman"/>
        <family val="1"/>
      </rPr>
      <t>x2</t>
    </r>
  </si>
  <si>
    <r>
      <t>fpc</t>
    </r>
    <r>
      <rPr>
        <vertAlign val="subscript"/>
        <sz val="10"/>
        <color indexed="18"/>
        <rFont val="Times New Roman"/>
        <family val="1"/>
      </rPr>
      <t>1</t>
    </r>
  </si>
  <si>
    <r>
      <t>media</t>
    </r>
    <r>
      <rPr>
        <vertAlign val="subscript"/>
        <sz val="10"/>
        <color indexed="18"/>
        <rFont val="Times New Roman"/>
        <family val="1"/>
      </rPr>
      <t>1</t>
    </r>
  </si>
  <si>
    <r>
      <t>media</t>
    </r>
    <r>
      <rPr>
        <vertAlign val="subscript"/>
        <sz val="10"/>
        <color indexed="18"/>
        <rFont val="Times New Roman"/>
        <family val="1"/>
      </rPr>
      <t>2</t>
    </r>
  </si>
  <si>
    <t xml:space="preserve">Prueba T medidas repetidas </t>
  </si>
  <si>
    <t>Hospno</t>
  </si>
  <si>
    <t>oblevel</t>
  </si>
  <si>
    <t>weighta</t>
  </si>
  <si>
    <t>tothosp</t>
  </si>
  <si>
    <t>births</t>
  </si>
  <si>
    <t>CAM</t>
  </si>
  <si>
    <t>Muestra</t>
  </si>
  <si>
    <t>Estadísticos de muestras relacionadas</t>
  </si>
  <si>
    <t>c_global</t>
  </si>
  <si>
    <t>caltotal</t>
  </si>
  <si>
    <t>c_global y caltotal</t>
  </si>
  <si>
    <t>SERVICIO DE TRANSPORTE URGENTE</t>
  </si>
  <si>
    <t>c_global - caltotal</t>
  </si>
  <si>
    <t>factor1</t>
  </si>
  <si>
    <t>Diseño: Intercept 
 Diseño intra sujetos: factor1</t>
  </si>
  <si>
    <t>Error(factor1)</t>
  </si>
  <si>
    <t>Pruebas de contrastes intra-sujetos</t>
  </si>
  <si>
    <t>Lineal</t>
  </si>
  <si>
    <t>Estimaciones de los parámetros</t>
  </si>
  <si>
    <t>Parámetro</t>
  </si>
  <si>
    <t>B</t>
  </si>
  <si>
    <t>Error típ.</t>
  </si>
  <si>
    <t>Intervalo de confianza al 95%.</t>
  </si>
  <si>
    <t>Límite inferior</t>
  </si>
  <si>
    <t>Límite superior</t>
  </si>
  <si>
    <t>Estimaciones</t>
  </si>
  <si>
    <t>Comparaciones por pares</t>
  </si>
  <si>
    <t>(I) factor1</t>
  </si>
  <si>
    <t>(J) factor1</t>
  </si>
  <si>
    <t>Diferencia entre medias (I-J)</t>
  </si>
  <si>
    <t>Significación(a)</t>
  </si>
  <si>
    <t>Intervalo de confianza al 95 % para diferencia(a)</t>
  </si>
  <si>
    <t>Basadas en las medias marginales estimadas.</t>
  </si>
  <si>
    <t>Ajuste para comparaciones múltiples: Bonferroni.</t>
  </si>
  <si>
    <t>Contrastes multivariados</t>
  </si>
  <si>
    <t>Cada prueba F contrasta el efecto multivariado de factor1. Estos contrastes se basan en las comparaciones por pares, linealmente independientes, entre las medias marginales estimadas.</t>
  </si>
  <si>
    <t>Escala jerárquica (calidad total)</t>
  </si>
  <si>
    <t>cuasivarianza</t>
  </si>
  <si>
    <t>Escala jerárquica (calidad 1 item)</t>
  </si>
  <si>
    <t>PISCINAS</t>
  </si>
  <si>
    <t>TRANSPORTE</t>
  </si>
  <si>
    <t>Varianza corregida por el factor de finitud</t>
  </si>
  <si>
    <t>Error estandar corregido</t>
  </si>
  <si>
    <t>Secorregido</t>
  </si>
  <si>
    <t>Gpower</t>
  </si>
  <si>
    <t>lambda</t>
  </si>
  <si>
    <t>Fhigh</t>
  </si>
  <si>
    <t>Flow</t>
  </si>
  <si>
    <t>PISCINAS DE VERANO 2003</t>
  </si>
  <si>
    <t>*</t>
  </si>
  <si>
    <t>La diferencia de las medias es significativa al nivel ,05.</t>
  </si>
  <si>
    <t>Escala multitributo(calidad global)</t>
  </si>
  <si>
    <t>BANCOS</t>
  </si>
  <si>
    <t>cal2</t>
  </si>
  <si>
    <t>cal2 y cal_total</t>
  </si>
  <si>
    <t>cal2 - cal_total</t>
  </si>
  <si>
    <t>Escala aditiva(calidad total)</t>
  </si>
  <si>
    <t>Escala aditiva(calidad 1 item)</t>
  </si>
  <si>
    <t xml:space="preserve">Variable dependiente: c_global </t>
  </si>
  <si>
    <t>pose_iso</t>
  </si>
  <si>
    <t>si</t>
  </si>
  <si>
    <t>no</t>
  </si>
  <si>
    <t>R cuadrado = ,088 (R cuadrado corregida = ,084)</t>
  </si>
  <si>
    <t>Diseño: Intercept+pose_iso</t>
  </si>
  <si>
    <t xml:space="preserve">Variable dependiente: caltotal </t>
  </si>
  <si>
    <t>R cuadrado = ,098 (R cuadrado corregida = ,094)</t>
  </si>
  <si>
    <t>varianzas</t>
  </si>
  <si>
    <t xml:space="preserve">PISCINAS </t>
  </si>
  <si>
    <t xml:space="preserve">Variable dependiente: cal_global </t>
  </si>
  <si>
    <t>extraradio</t>
  </si>
  <si>
    <t>Diseño: Intercept+extraradio</t>
  </si>
  <si>
    <t>R cuadrado = ,098 (R cuadrado corregida = ,095)</t>
  </si>
  <si>
    <t xml:space="preserve">Variable dependiente: cal </t>
  </si>
  <si>
    <t>R cuadrado = ,001 (R cuadrado corregida = -,003)</t>
  </si>
  <si>
    <t xml:space="preserve">BANCOS </t>
  </si>
  <si>
    <t xml:space="preserve">Variable dependiente: cal_total </t>
  </si>
  <si>
    <t>Entidad financiera</t>
  </si>
  <si>
    <t>CAJAMURCIA</t>
  </si>
  <si>
    <t>R cuadrado = ,000 (R cuadrado corregida = -,009)</t>
  </si>
  <si>
    <t xml:space="preserve">Variable dependiente: cal2 </t>
  </si>
  <si>
    <t>R cuadrado = ,006 (R cuadrado corregida = -,003)</t>
  </si>
  <si>
    <t>Grupo</t>
  </si>
  <si>
    <t>Intercept</t>
  </si>
  <si>
    <t>Slope</t>
  </si>
  <si>
    <t>SEslope</t>
  </si>
  <si>
    <t>SSE</t>
  </si>
  <si>
    <t>SDx</t>
  </si>
  <si>
    <t>Escala jerárquica</t>
  </si>
  <si>
    <t>1 item</t>
  </si>
  <si>
    <t>Correlacion</t>
  </si>
  <si>
    <t>Rcuadrado</t>
  </si>
  <si>
    <t>0.815</t>
  </si>
  <si>
    <t>Dunlap et al.</t>
  </si>
  <si>
    <t>Varianza poblacional</t>
  </si>
  <si>
    <r>
      <t>S</t>
    </r>
    <r>
      <rPr>
        <vertAlign val="superscript"/>
        <sz val="10"/>
        <rFont val="Arial"/>
        <family val="2"/>
      </rPr>
      <t>2</t>
    </r>
    <r>
      <rPr>
        <vertAlign val="subscript"/>
        <sz val="10"/>
        <rFont val="Arial"/>
        <family val="2"/>
      </rPr>
      <t>y</t>
    </r>
  </si>
  <si>
    <t>Konijn (1973)</t>
  </si>
  <si>
    <t xml:space="preserve">Varianza  </t>
  </si>
  <si>
    <r>
      <t>V</t>
    </r>
    <r>
      <rPr>
        <vertAlign val="superscript"/>
        <sz val="10"/>
        <rFont val="Arial"/>
        <family val="2"/>
      </rPr>
      <t>2</t>
    </r>
  </si>
  <si>
    <t>Varianza máxima</t>
  </si>
  <si>
    <t>z</t>
  </si>
  <si>
    <r>
      <t>σ</t>
    </r>
    <r>
      <rPr>
        <vertAlign val="superscript"/>
        <sz val="10"/>
        <color indexed="62"/>
        <rFont val="Times New Roman"/>
        <family val="1"/>
      </rPr>
      <t>2</t>
    </r>
    <r>
      <rPr>
        <vertAlign val="subscript"/>
        <sz val="10"/>
        <color indexed="62"/>
        <rFont val="Times New Roman"/>
        <family val="1"/>
      </rPr>
      <t>y</t>
    </r>
  </si>
  <si>
    <t>Rango de la escala</t>
  </si>
  <si>
    <r>
      <t>R</t>
    </r>
    <r>
      <rPr>
        <vertAlign val="subscript"/>
        <sz val="10"/>
        <color indexed="62"/>
        <rFont val="Times New Roman"/>
        <family val="1"/>
      </rPr>
      <t>E</t>
    </r>
  </si>
  <si>
    <t>Inverso de la función de distribución normal estándar</t>
  </si>
  <si>
    <t>Factor de Imprecisión sobre la Escala de Medida</t>
  </si>
  <si>
    <t>FIEM</t>
  </si>
  <si>
    <r>
      <t>ε</t>
    </r>
    <r>
      <rPr>
        <vertAlign val="subscript"/>
        <sz val="10"/>
        <color indexed="10"/>
        <rFont val="Times New Roman"/>
        <family val="1"/>
      </rPr>
      <t>A</t>
    </r>
  </si>
  <si>
    <t>Obtención del error de estimación y de FIEM más desfavorables tras recoger la muestra</t>
  </si>
  <si>
    <t>Obtención del error de estimación y de FIEM una vez analizados los datos</t>
  </si>
  <si>
    <r>
      <t>S</t>
    </r>
    <r>
      <rPr>
        <vertAlign val="superscript"/>
        <sz val="10"/>
        <color indexed="62"/>
        <rFont val="Times New Roman"/>
        <family val="1"/>
      </rPr>
      <t>2</t>
    </r>
    <r>
      <rPr>
        <vertAlign val="subscript"/>
        <sz val="10"/>
        <color indexed="62"/>
        <rFont val="Times New Roman"/>
        <family val="1"/>
      </rPr>
      <t>y</t>
    </r>
  </si>
  <si>
    <t>y</t>
  </si>
  <si>
    <t>Error estándar de la media</t>
  </si>
  <si>
    <t>EEM</t>
  </si>
  <si>
    <t>IC-</t>
  </si>
  <si>
    <t>IC+</t>
  </si>
  <si>
    <t>Error de la estimación (error relativo)</t>
  </si>
  <si>
    <r>
      <t>ε</t>
    </r>
    <r>
      <rPr>
        <vertAlign val="subscript"/>
        <sz val="10"/>
        <color indexed="10"/>
        <rFont val="Times New Roman"/>
        <family val="1"/>
      </rPr>
      <t>R</t>
    </r>
  </si>
  <si>
    <t>Obtención del tamaño muestral a partir de FIEM</t>
  </si>
  <si>
    <t>Obtención del error de estimación y de FIEM una vez analizados los datos en muestreo estratificado</t>
  </si>
  <si>
    <t>Tamaño estrato 1</t>
  </si>
  <si>
    <t>Tamaño estrato 2</t>
  </si>
  <si>
    <t>Tamaño estrato 3</t>
  </si>
  <si>
    <t>Muestra estrato 1</t>
  </si>
  <si>
    <t>Muestra estrato 2</t>
  </si>
  <si>
    <t>Muestra estrato 3</t>
  </si>
  <si>
    <r>
      <t>N</t>
    </r>
    <r>
      <rPr>
        <vertAlign val="subscript"/>
        <sz val="10"/>
        <color indexed="62"/>
        <rFont val="Times New Roman"/>
        <family val="1"/>
      </rPr>
      <t>1</t>
    </r>
  </si>
  <si>
    <r>
      <t>N</t>
    </r>
    <r>
      <rPr>
        <vertAlign val="subscript"/>
        <sz val="10"/>
        <color indexed="62"/>
        <rFont val="Times New Roman"/>
        <family val="1"/>
      </rPr>
      <t>2</t>
    </r>
  </si>
  <si>
    <r>
      <t>N</t>
    </r>
    <r>
      <rPr>
        <vertAlign val="subscript"/>
        <sz val="10"/>
        <color indexed="62"/>
        <rFont val="Times New Roman"/>
        <family val="1"/>
      </rPr>
      <t>3</t>
    </r>
  </si>
  <si>
    <r>
      <t>n</t>
    </r>
    <r>
      <rPr>
        <vertAlign val="subscript"/>
        <sz val="10"/>
        <color indexed="62"/>
        <rFont val="Times New Roman"/>
        <family val="1"/>
      </rPr>
      <t>1</t>
    </r>
  </si>
  <si>
    <r>
      <t>n</t>
    </r>
    <r>
      <rPr>
        <vertAlign val="subscript"/>
        <sz val="10"/>
        <color indexed="62"/>
        <rFont val="Times New Roman"/>
        <family val="1"/>
      </rPr>
      <t>2</t>
    </r>
  </si>
  <si>
    <r>
      <t>n</t>
    </r>
    <r>
      <rPr>
        <vertAlign val="subscript"/>
        <sz val="10"/>
        <color indexed="62"/>
        <rFont val="Times New Roman"/>
        <family val="1"/>
      </rPr>
      <t>3</t>
    </r>
  </si>
  <si>
    <t>Media muestral 3</t>
  </si>
  <si>
    <r>
      <t>y</t>
    </r>
    <r>
      <rPr>
        <vertAlign val="subscript"/>
        <sz val="10"/>
        <color indexed="62"/>
        <rFont val="Times New Roman"/>
        <family val="1"/>
      </rPr>
      <t>1</t>
    </r>
  </si>
  <si>
    <r>
      <t>y</t>
    </r>
    <r>
      <rPr>
        <vertAlign val="subscript"/>
        <sz val="10"/>
        <color indexed="62"/>
        <rFont val="Times New Roman"/>
        <family val="1"/>
      </rPr>
      <t>2</t>
    </r>
  </si>
  <si>
    <r>
      <t>y</t>
    </r>
    <r>
      <rPr>
        <vertAlign val="subscript"/>
        <sz val="10"/>
        <color indexed="62"/>
        <rFont val="Times New Roman"/>
        <family val="1"/>
      </rPr>
      <t>3</t>
    </r>
  </si>
  <si>
    <t>Cuasivarianza muestral 3</t>
  </si>
  <si>
    <r>
      <t>S</t>
    </r>
    <r>
      <rPr>
        <vertAlign val="superscript"/>
        <sz val="10"/>
        <color indexed="62"/>
        <rFont val="Times New Roman"/>
        <family val="1"/>
      </rPr>
      <t>2</t>
    </r>
    <r>
      <rPr>
        <vertAlign val="subscript"/>
        <sz val="10"/>
        <color indexed="62"/>
        <rFont val="Times New Roman"/>
        <family val="1"/>
      </rPr>
      <t>y1</t>
    </r>
  </si>
  <si>
    <r>
      <t>S</t>
    </r>
    <r>
      <rPr>
        <vertAlign val="superscript"/>
        <sz val="10"/>
        <color indexed="62"/>
        <rFont val="Times New Roman"/>
        <family val="1"/>
      </rPr>
      <t>2</t>
    </r>
    <r>
      <rPr>
        <vertAlign val="subscript"/>
        <sz val="10"/>
        <color indexed="62"/>
        <rFont val="Times New Roman"/>
        <family val="1"/>
      </rPr>
      <t>y2</t>
    </r>
  </si>
  <si>
    <r>
      <t>S</t>
    </r>
    <r>
      <rPr>
        <vertAlign val="superscript"/>
        <sz val="10"/>
        <color indexed="62"/>
        <rFont val="Times New Roman"/>
        <family val="1"/>
      </rPr>
      <t>2</t>
    </r>
    <r>
      <rPr>
        <vertAlign val="subscript"/>
        <sz val="10"/>
        <color indexed="62"/>
        <rFont val="Times New Roman"/>
        <family val="1"/>
      </rPr>
      <t>y3</t>
    </r>
  </si>
  <si>
    <t>Varianza de la media 1</t>
  </si>
  <si>
    <t>Varianza de la media 2</t>
  </si>
  <si>
    <t>Varianza de la media 3</t>
  </si>
  <si>
    <t>Var(media)1</t>
  </si>
  <si>
    <t>Var(media)2</t>
  </si>
  <si>
    <t>Var(media)3</t>
  </si>
  <si>
    <t>Error estándar de la media 1</t>
  </si>
  <si>
    <t>Error estándar de la media 2</t>
  </si>
  <si>
    <t>Error estándar de la media 3</t>
  </si>
  <si>
    <r>
      <t>EEM</t>
    </r>
    <r>
      <rPr>
        <vertAlign val="subscript"/>
        <sz val="10"/>
        <color indexed="62"/>
        <rFont val="Times New Roman"/>
        <family val="1"/>
      </rPr>
      <t>1</t>
    </r>
  </si>
  <si>
    <r>
      <t>EEM</t>
    </r>
    <r>
      <rPr>
        <vertAlign val="subscript"/>
        <sz val="10"/>
        <color indexed="62"/>
        <rFont val="Times New Roman"/>
        <family val="1"/>
      </rPr>
      <t>2</t>
    </r>
  </si>
  <si>
    <r>
      <t>EEM</t>
    </r>
    <r>
      <rPr>
        <vertAlign val="subscript"/>
        <sz val="10"/>
        <color indexed="62"/>
        <rFont val="Times New Roman"/>
        <family val="1"/>
      </rPr>
      <t>3</t>
    </r>
  </si>
  <si>
    <t>Intervalo de confianza para la media (límite inferior) 1</t>
  </si>
  <si>
    <t>Intervalo de confianza para la media (límite superior) 1</t>
  </si>
  <si>
    <t>Amplitud del intervalo de confianza 1</t>
  </si>
  <si>
    <t>Intervalo de confianza para la media (límite inferior) 2</t>
  </si>
  <si>
    <t>Intervalo de confianza para la media (límite superior) 2</t>
  </si>
  <si>
    <t>Amplitud del intervalo de confianza 2</t>
  </si>
  <si>
    <t>Intervalo de confianza para la media (límite inferior) 3</t>
  </si>
  <si>
    <t>Intervalo de confianza para la media (límite superior) 3</t>
  </si>
  <si>
    <t>Amplitud del intervalo de confianza 3</t>
  </si>
  <si>
    <t>IC- 1</t>
  </si>
  <si>
    <t>IC+ 1</t>
  </si>
  <si>
    <t>Δ IC 1</t>
  </si>
  <si>
    <t>IC- 2</t>
  </si>
  <si>
    <t>IC+ 2</t>
  </si>
  <si>
    <t>Δ IC 2</t>
  </si>
  <si>
    <t>IC- 3</t>
  </si>
  <si>
    <t>IC+ 3</t>
  </si>
  <si>
    <t>Δ IC 3</t>
  </si>
  <si>
    <t>Error de la estimación (error relativo) 1</t>
  </si>
  <si>
    <r>
      <t>ε</t>
    </r>
    <r>
      <rPr>
        <vertAlign val="subscript"/>
        <sz val="10"/>
        <color indexed="10"/>
        <rFont val="Times New Roman"/>
        <family val="1"/>
      </rPr>
      <t>R 1</t>
    </r>
  </si>
  <si>
    <t>Error de la estimación (error relativo) 2</t>
  </si>
  <si>
    <r>
      <t>ε</t>
    </r>
    <r>
      <rPr>
        <vertAlign val="subscript"/>
        <sz val="10"/>
        <color indexed="10"/>
        <rFont val="Times New Roman"/>
        <family val="1"/>
      </rPr>
      <t>R 2</t>
    </r>
  </si>
  <si>
    <t>Error de la estimación (error relativo) 3</t>
  </si>
  <si>
    <r>
      <t>ε</t>
    </r>
    <r>
      <rPr>
        <vertAlign val="subscript"/>
        <sz val="10"/>
        <color indexed="10"/>
        <rFont val="Times New Roman"/>
        <family val="1"/>
      </rPr>
      <t>R 3</t>
    </r>
  </si>
  <si>
    <t>Error de la estimación (error absoluto) 1</t>
  </si>
  <si>
    <r>
      <t>ε</t>
    </r>
    <r>
      <rPr>
        <vertAlign val="subscript"/>
        <sz val="10"/>
        <color indexed="10"/>
        <rFont val="Times New Roman"/>
        <family val="1"/>
      </rPr>
      <t>A 1</t>
    </r>
  </si>
  <si>
    <t>Error de la estimación (error absoluto) 2</t>
  </si>
  <si>
    <r>
      <t>ε</t>
    </r>
    <r>
      <rPr>
        <vertAlign val="subscript"/>
        <sz val="10"/>
        <color indexed="10"/>
        <rFont val="Times New Roman"/>
        <family val="1"/>
      </rPr>
      <t>A 2</t>
    </r>
  </si>
  <si>
    <t>Error de la estimación (error absoluto) 3</t>
  </si>
  <si>
    <r>
      <t>ε</t>
    </r>
    <r>
      <rPr>
        <vertAlign val="subscript"/>
        <sz val="10"/>
        <color indexed="10"/>
        <rFont val="Times New Roman"/>
        <family val="1"/>
      </rPr>
      <t>A 3</t>
    </r>
  </si>
  <si>
    <t>Factor de Imprecisión sobre la Escala de Medida 1</t>
  </si>
  <si>
    <t>FIEM 2</t>
  </si>
  <si>
    <t>FIEM 1</t>
  </si>
  <si>
    <t>Factor de Imprecisión sobre la Escala de Medida 2</t>
  </si>
  <si>
    <t>Factor de Imprecisión sobre la Escala de Medida 3</t>
  </si>
  <si>
    <t>FIEM 3</t>
  </si>
  <si>
    <r>
      <t>ε</t>
    </r>
    <r>
      <rPr>
        <vertAlign val="subscript"/>
        <sz val="10"/>
        <color indexed="62"/>
        <rFont val="Times New Roman"/>
        <family val="1"/>
      </rPr>
      <t>A</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</si>
</sst>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
    <numFmt numFmtId="175" formatCode="#,##0.000"/>
    <numFmt numFmtId="176" formatCode="0.000"/>
    <numFmt numFmtId="177" formatCode="0.00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0000"/>
    <numFmt numFmtId="183" formatCode="0.00000"/>
    <numFmt numFmtId="184" formatCode="0.000000"/>
    <numFmt numFmtId="185" formatCode="0.0"/>
    <numFmt numFmtId="186" formatCode="#,##0.0"/>
    <numFmt numFmtId="187" formatCode="0.000%"/>
    <numFmt numFmtId="188" formatCode="0.0%"/>
    <numFmt numFmtId="189" formatCode="0.0000%"/>
    <numFmt numFmtId="190" formatCode="0.00000%"/>
  </numFmts>
  <fonts count="51">
    <font>
      <sz val="10"/>
      <name val="Arial"/>
      <family val="0"/>
    </font>
    <font>
      <b/>
      <sz val="9"/>
      <name val="Arial"/>
      <family val="0"/>
    </font>
    <font>
      <sz val="9"/>
      <name val="Arial"/>
      <family val="0"/>
    </font>
    <font>
      <sz val="10"/>
      <color indexed="12"/>
      <name val="Arial"/>
      <family val="0"/>
    </font>
    <font>
      <sz val="8"/>
      <name val="Tahoma"/>
      <family val="0"/>
    </font>
    <font>
      <b/>
      <sz val="8"/>
      <name val="Tahoma"/>
      <family val="0"/>
    </font>
    <font>
      <b/>
      <sz val="10"/>
      <name val="Arial"/>
      <family val="2"/>
    </font>
    <font>
      <sz val="10"/>
      <color indexed="10"/>
      <name val="Arial"/>
      <family val="0"/>
    </font>
    <font>
      <sz val="8"/>
      <name val="Arial"/>
      <family val="0"/>
    </font>
    <font>
      <sz val="10"/>
      <name val="Times New Roman"/>
      <family val="1"/>
    </font>
    <font>
      <b/>
      <sz val="10"/>
      <name val="Times New Roman"/>
      <family val="1"/>
    </font>
    <font>
      <vertAlign val="superscript"/>
      <sz val="10"/>
      <name val="Times New Roman"/>
      <family val="1"/>
    </font>
    <font>
      <vertAlign val="subscript"/>
      <sz val="10"/>
      <name val="Times New Roman"/>
      <family val="1"/>
    </font>
    <font>
      <vertAlign val="subscript"/>
      <sz val="10"/>
      <name val="Arial"/>
      <family val="2"/>
    </font>
    <font>
      <sz val="10"/>
      <color indexed="53"/>
      <name val="Times New Roman"/>
      <family val="1"/>
    </font>
    <font>
      <vertAlign val="subscript"/>
      <sz val="10"/>
      <color indexed="53"/>
      <name val="Times New Roman"/>
      <family val="1"/>
    </font>
    <font>
      <vertAlign val="subscript"/>
      <sz val="10"/>
      <color indexed="53"/>
      <name val="Arial"/>
      <family val="2"/>
    </font>
    <font>
      <sz val="10"/>
      <color indexed="57"/>
      <name val="Times New Roman"/>
      <family val="1"/>
    </font>
    <font>
      <vertAlign val="subscript"/>
      <sz val="10"/>
      <color indexed="57"/>
      <name val="Times New Roman"/>
      <family val="1"/>
    </font>
    <font>
      <sz val="10"/>
      <color indexed="18"/>
      <name val="Times New Roman"/>
      <family val="1"/>
    </font>
    <font>
      <b/>
      <sz val="10"/>
      <color indexed="18"/>
      <name val="Times New Roman"/>
      <family val="1"/>
    </font>
    <font>
      <vertAlign val="superscript"/>
      <sz val="10"/>
      <color indexed="18"/>
      <name val="Times New Roman"/>
      <family val="1"/>
    </font>
    <font>
      <vertAlign val="subscript"/>
      <sz val="10"/>
      <color indexed="18"/>
      <name val="Times New Roman"/>
      <family val="1"/>
    </font>
    <font>
      <b/>
      <vertAlign val="subscript"/>
      <sz val="10"/>
      <color indexed="18"/>
      <name val="Times New Roman"/>
      <family val="1"/>
    </font>
    <font>
      <i/>
      <sz val="10"/>
      <color indexed="18"/>
      <name val="Times New Roman"/>
      <family val="1"/>
    </font>
    <font>
      <i/>
      <vertAlign val="subscript"/>
      <sz val="10"/>
      <color indexed="18"/>
      <name val="Times New Roman"/>
      <family val="1"/>
    </font>
    <font>
      <b/>
      <sz val="10"/>
      <color indexed="9"/>
      <name val="Times New Roman"/>
      <family val="1"/>
    </font>
    <font>
      <sz val="10"/>
      <color indexed="62"/>
      <name val="Times New Roman"/>
      <family val="1"/>
    </font>
    <font>
      <b/>
      <sz val="10"/>
      <color indexed="62"/>
      <name val="Times New Roman"/>
      <family val="1"/>
    </font>
    <font>
      <vertAlign val="superscript"/>
      <sz val="10"/>
      <color indexed="62"/>
      <name val="Times New Roman"/>
      <family val="1"/>
    </font>
    <font>
      <vertAlign val="subscript"/>
      <sz val="10"/>
      <color indexed="62"/>
      <name val="Times New Roman"/>
      <family val="1"/>
    </font>
    <font>
      <sz val="10"/>
      <color indexed="10"/>
      <name val="Times New Roman"/>
      <family val="1"/>
    </font>
    <font>
      <b/>
      <sz val="10"/>
      <color indexed="10"/>
      <name val="Times New Roman"/>
      <family val="1"/>
    </font>
    <font>
      <sz val="10"/>
      <color indexed="12"/>
      <name val="Times New Roman"/>
      <family val="1"/>
    </font>
    <font>
      <b/>
      <sz val="10"/>
      <color indexed="12"/>
      <name val="Times New Roman"/>
      <family val="1"/>
    </font>
    <font>
      <vertAlign val="superscript"/>
      <sz val="10"/>
      <color indexed="12"/>
      <name val="Times New Roman"/>
      <family val="1"/>
    </font>
    <font>
      <vertAlign val="subscript"/>
      <sz val="10"/>
      <color indexed="12"/>
      <name val="Times New Roman"/>
      <family val="1"/>
    </font>
    <font>
      <vertAlign val="superscript"/>
      <sz val="10"/>
      <name val="Arial"/>
      <family val="2"/>
    </font>
    <font>
      <vertAlign val="superscript"/>
      <sz val="10"/>
      <color indexed="10"/>
      <name val="Times New Roman"/>
      <family val="1"/>
    </font>
    <font>
      <vertAlign val="subscript"/>
      <sz val="10"/>
      <color indexed="10"/>
      <name val="Times New Roman"/>
      <family val="1"/>
    </font>
    <font>
      <sz val="18"/>
      <name val="Maiandra GD"/>
      <family val="0"/>
    </font>
    <font>
      <sz val="10"/>
      <name val="Maiandra GD"/>
      <family val="0"/>
    </font>
    <font>
      <b/>
      <sz val="20"/>
      <name val="Arial"/>
      <family val="2"/>
    </font>
    <font>
      <b/>
      <sz val="10"/>
      <color indexed="9"/>
      <name val="Arial"/>
      <family val="0"/>
    </font>
    <font>
      <u val="single"/>
      <sz val="10"/>
      <color indexed="12"/>
      <name val="Arial"/>
      <family val="0"/>
    </font>
    <font>
      <u val="single"/>
      <sz val="10"/>
      <color indexed="36"/>
      <name val="Arial"/>
      <family val="0"/>
    </font>
    <font>
      <sz val="10"/>
      <color indexed="62"/>
      <name val="Arial"/>
      <family val="2"/>
    </font>
    <font>
      <sz val="9"/>
      <name val="Times New Roman"/>
      <family val="1"/>
    </font>
    <font>
      <b/>
      <i/>
      <sz val="10"/>
      <name val="Times New Roman"/>
      <family val="1"/>
    </font>
    <font>
      <b/>
      <i/>
      <sz val="10"/>
      <color indexed="55"/>
      <name val="Times New Roman"/>
      <family val="1"/>
    </font>
    <font>
      <b/>
      <sz val="8"/>
      <name val="Arial"/>
      <family val="2"/>
    </font>
  </fonts>
  <fills count="19">
    <fill>
      <patternFill/>
    </fill>
    <fill>
      <patternFill patternType="gray125"/>
    </fill>
    <fill>
      <patternFill patternType="solid">
        <fgColor indexed="13"/>
        <bgColor indexed="64"/>
      </patternFill>
    </fill>
    <fill>
      <patternFill patternType="solid">
        <fgColor indexed="5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46"/>
        <bgColor indexed="64"/>
      </patternFill>
    </fill>
    <fill>
      <patternFill patternType="solid">
        <fgColor indexed="48"/>
        <bgColor indexed="64"/>
      </patternFill>
    </fill>
    <fill>
      <patternFill patternType="solid">
        <fgColor indexed="56"/>
        <bgColor indexed="64"/>
      </patternFill>
    </fill>
    <fill>
      <patternFill patternType="solid">
        <fgColor indexed="11"/>
        <bgColor indexed="64"/>
      </patternFill>
    </fill>
    <fill>
      <patternFill patternType="solid">
        <fgColor indexed="19"/>
        <bgColor indexed="64"/>
      </patternFill>
    </fill>
    <fill>
      <patternFill patternType="solid">
        <fgColor indexed="16"/>
        <bgColor indexed="64"/>
      </patternFill>
    </fill>
    <fill>
      <patternFill patternType="solid">
        <fgColor indexed="10"/>
        <bgColor indexed="64"/>
      </patternFill>
    </fill>
    <fill>
      <patternFill patternType="solid">
        <fgColor indexed="44"/>
        <bgColor indexed="64"/>
      </patternFill>
    </fill>
    <fill>
      <patternFill patternType="solid">
        <fgColor indexed="14"/>
        <bgColor indexed="64"/>
      </patternFill>
    </fill>
  </fills>
  <borders count="32">
    <border>
      <left/>
      <right/>
      <top/>
      <bottom/>
      <diagonal/>
    </border>
    <border>
      <left/>
      <right>
        <color indexed="8"/>
      </right>
      <top/>
      <bottom style="medium"/>
    </border>
    <border>
      <left style="medium"/>
      <right>
        <color indexed="8"/>
      </right>
      <top style="medium"/>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right/>
      <top/>
      <bottom style="medium"/>
    </border>
    <border>
      <left/>
      <right>
        <color indexed="8"/>
      </right>
      <top style="medium"/>
      <bottom/>
    </border>
    <border>
      <left/>
      <right style="medium"/>
      <top style="medium"/>
      <bottom/>
    </border>
    <border>
      <left style="medium"/>
      <right>
        <color indexed="8"/>
      </right>
      <top/>
      <bottom/>
    </border>
    <border>
      <left/>
      <right style="medium"/>
      <top/>
      <bottom/>
    </border>
    <border>
      <left style="medium"/>
      <right>
        <color indexed="8"/>
      </right>
      <top/>
      <bottom style="medium"/>
    </border>
    <border>
      <left/>
      <right style="medium"/>
      <top/>
      <bottom style="medium"/>
    </border>
  </borders>
  <cellStyleXfs count="1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277">
    <xf numFmtId="0" fontId="0" fillId="0" borderId="0" xfId="0" applyAlignment="1">
      <alignment/>
    </xf>
    <xf numFmtId="0" fontId="0" fillId="0" borderId="0" xfId="0" applyAlignment="1">
      <alignment/>
    </xf>
    <xf numFmtId="4" fontId="0" fillId="0" borderId="0" xfId="0" applyAlignment="1">
      <alignment/>
    </xf>
    <xf numFmtId="4" fontId="1" fillId="0" borderId="1" xfId="0" applyAlignment="1">
      <alignment horizontal="center" vertical="center" wrapText="1"/>
    </xf>
    <xf numFmtId="3" fontId="1" fillId="0" borderId="1" xfId="0" applyAlignment="1">
      <alignment horizontal="center" vertical="center" wrapText="1"/>
    </xf>
    <xf numFmtId="3" fontId="2" fillId="0" borderId="2" xfId="0" applyAlignment="1">
      <alignment horizontal="left" wrapText="1"/>
    </xf>
    <xf numFmtId="0" fontId="3" fillId="0" borderId="0" xfId="0" applyFont="1" applyAlignment="1">
      <alignment/>
    </xf>
    <xf numFmtId="0" fontId="6" fillId="2" borderId="0" xfId="0" applyFont="1" applyFill="1" applyAlignment="1">
      <alignment/>
    </xf>
    <xf numFmtId="0" fontId="0" fillId="3" borderId="0" xfId="0" applyFill="1" applyAlignment="1">
      <alignment/>
    </xf>
    <xf numFmtId="176" fontId="6" fillId="2" borderId="0" xfId="0" applyNumberFormat="1" applyFont="1" applyFill="1" applyAlignment="1">
      <alignment horizontal="center" vertical="center"/>
    </xf>
    <xf numFmtId="176" fontId="0" fillId="0" borderId="0" xfId="0" applyNumberFormat="1" applyAlignment="1">
      <alignment horizontal="center" vertical="center"/>
    </xf>
    <xf numFmtId="176" fontId="7" fillId="0" borderId="0" xfId="0" applyNumberFormat="1" applyFont="1" applyAlignment="1">
      <alignment horizontal="center" vertical="center"/>
    </xf>
    <xf numFmtId="176" fontId="3" fillId="0" borderId="0" xfId="0" applyNumberFormat="1" applyFont="1" applyAlignment="1">
      <alignment horizontal="center" vertical="center"/>
    </xf>
    <xf numFmtId="1" fontId="0" fillId="0" borderId="0" xfId="0" applyNumberFormat="1" applyAlignment="1">
      <alignment horizontal="center" vertical="center"/>
    </xf>
    <xf numFmtId="1" fontId="7" fillId="0" borderId="0" xfId="0" applyNumberFormat="1" applyFont="1" applyAlignment="1">
      <alignment horizontal="center" vertical="center"/>
    </xf>
    <xf numFmtId="1" fontId="3" fillId="0" borderId="0" xfId="0" applyNumberFormat="1" applyFont="1" applyAlignment="1">
      <alignment horizontal="center" vertical="center"/>
    </xf>
    <xf numFmtId="176" fontId="9" fillId="0" borderId="0" xfId="0" applyNumberFormat="1" applyFont="1" applyAlignment="1">
      <alignment vertical="center"/>
    </xf>
    <xf numFmtId="176" fontId="9" fillId="0" borderId="0" xfId="0" applyNumberFormat="1" applyFont="1" applyAlignment="1">
      <alignment horizontal="center" vertical="center"/>
    </xf>
    <xf numFmtId="176" fontId="9" fillId="0" borderId="0" xfId="0" applyNumberFormat="1" applyFont="1" applyAlignment="1">
      <alignment horizontal="left" vertical="center"/>
    </xf>
    <xf numFmtId="176" fontId="9" fillId="0" borderId="0" xfId="0" applyNumberFormat="1" applyFont="1" applyFill="1" applyBorder="1" applyAlignment="1">
      <alignment vertical="center"/>
    </xf>
    <xf numFmtId="176" fontId="9" fillId="0" borderId="0" xfId="0" applyNumberFormat="1" applyFont="1" applyFill="1" applyBorder="1" applyAlignment="1">
      <alignment horizontal="center" vertical="center"/>
    </xf>
    <xf numFmtId="176" fontId="9" fillId="0" borderId="0" xfId="0" applyNumberFormat="1" applyFont="1" applyFill="1" applyAlignment="1">
      <alignment horizontal="left" vertical="center"/>
    </xf>
    <xf numFmtId="176" fontId="9" fillId="0" borderId="0" xfId="0" applyNumberFormat="1" applyFont="1" applyFill="1" applyAlignment="1">
      <alignment vertical="center"/>
    </xf>
    <xf numFmtId="176" fontId="10" fillId="4" borderId="3" xfId="0" applyNumberFormat="1" applyFont="1" applyFill="1" applyBorder="1" applyAlignment="1">
      <alignment vertical="center"/>
    </xf>
    <xf numFmtId="176" fontId="9" fillId="0" borderId="0" xfId="0" applyNumberFormat="1" applyFont="1" applyBorder="1" applyAlignment="1">
      <alignment vertical="center"/>
    </xf>
    <xf numFmtId="176" fontId="9" fillId="0" borderId="0" xfId="0" applyNumberFormat="1" applyFont="1" applyBorder="1" applyAlignment="1">
      <alignment horizontal="center" vertical="center"/>
    </xf>
    <xf numFmtId="176" fontId="9" fillId="5" borderId="0" xfId="0" applyNumberFormat="1" applyFont="1" applyFill="1" applyAlignment="1">
      <alignment horizontal="center" vertical="center"/>
    </xf>
    <xf numFmtId="176" fontId="9" fillId="0" borderId="4" xfId="0" applyNumberFormat="1" applyFont="1" applyBorder="1" applyAlignment="1">
      <alignment vertical="center"/>
    </xf>
    <xf numFmtId="176" fontId="9" fillId="0" borderId="5"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7" xfId="0" applyNumberFormat="1" applyFont="1" applyBorder="1" applyAlignment="1">
      <alignment vertical="center"/>
    </xf>
    <xf numFmtId="176" fontId="9" fillId="0" borderId="8" xfId="0" applyNumberFormat="1" applyFont="1" applyBorder="1" applyAlignment="1">
      <alignment horizontal="center" vertical="center"/>
    </xf>
    <xf numFmtId="176" fontId="9" fillId="0" borderId="9" xfId="0" applyNumberFormat="1" applyFont="1" applyBorder="1" applyAlignment="1">
      <alignment vertical="center"/>
    </xf>
    <xf numFmtId="176" fontId="9" fillId="0" borderId="10"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10" fillId="6" borderId="12" xfId="0" applyNumberFormat="1" applyFont="1" applyFill="1" applyBorder="1" applyAlignment="1">
      <alignment vertical="center"/>
    </xf>
    <xf numFmtId="176" fontId="9" fillId="0" borderId="13" xfId="0" applyNumberFormat="1" applyFont="1" applyBorder="1" applyAlignment="1">
      <alignment vertical="center"/>
    </xf>
    <xf numFmtId="176" fontId="9" fillId="0" borderId="14" xfId="0" applyNumberFormat="1" applyFont="1" applyBorder="1" applyAlignment="1">
      <alignment horizontal="center" vertical="center"/>
    </xf>
    <xf numFmtId="176" fontId="9" fillId="0" borderId="15" xfId="0" applyNumberFormat="1" applyFont="1" applyBorder="1" applyAlignment="1">
      <alignment vertical="center"/>
    </xf>
    <xf numFmtId="176" fontId="9" fillId="0" borderId="16" xfId="0" applyNumberFormat="1" applyFont="1" applyBorder="1" applyAlignment="1">
      <alignment horizontal="center" vertical="center"/>
    </xf>
    <xf numFmtId="176" fontId="9" fillId="0" borderId="17" xfId="0" applyNumberFormat="1" applyFont="1" applyBorder="1" applyAlignment="1">
      <alignment vertical="center"/>
    </xf>
    <xf numFmtId="176" fontId="9" fillId="0" borderId="18" xfId="0" applyNumberFormat="1" applyFont="1" applyBorder="1" applyAlignment="1">
      <alignment horizontal="center" vertical="center"/>
    </xf>
    <xf numFmtId="176" fontId="0" fillId="0" borderId="0" xfId="0" applyNumberFormat="1" applyFont="1" applyAlignment="1">
      <alignment horizontal="center" vertical="center"/>
    </xf>
    <xf numFmtId="176" fontId="14" fillId="0" borderId="0" xfId="0" applyNumberFormat="1" applyFont="1" applyAlignment="1">
      <alignment vertical="center"/>
    </xf>
    <xf numFmtId="176" fontId="14" fillId="0" borderId="0" xfId="0" applyNumberFormat="1" applyFont="1" applyAlignment="1">
      <alignment horizontal="center" vertical="center"/>
    </xf>
    <xf numFmtId="176" fontId="14" fillId="5" borderId="0" xfId="0" applyNumberFormat="1" applyFont="1" applyFill="1" applyAlignment="1">
      <alignment horizontal="center" vertical="center"/>
    </xf>
    <xf numFmtId="176" fontId="17" fillId="0" borderId="0" xfId="0" applyNumberFormat="1" applyFont="1" applyAlignment="1">
      <alignment vertical="center"/>
    </xf>
    <xf numFmtId="176" fontId="17" fillId="0" borderId="0" xfId="0" applyNumberFormat="1" applyFont="1" applyAlignment="1">
      <alignment horizontal="center" vertical="center"/>
    </xf>
    <xf numFmtId="176" fontId="17" fillId="5" borderId="0" xfId="0" applyNumberFormat="1" applyFont="1" applyFill="1" applyAlignment="1">
      <alignment horizontal="center" vertical="center"/>
    </xf>
    <xf numFmtId="176" fontId="19" fillId="0" borderId="0" xfId="0" applyNumberFormat="1" applyFont="1" applyBorder="1" applyAlignment="1">
      <alignment vertical="center"/>
    </xf>
    <xf numFmtId="176" fontId="19" fillId="0" borderId="0" xfId="0" applyNumberFormat="1" applyFont="1" applyBorder="1" applyAlignment="1">
      <alignment horizontal="center" vertical="center"/>
    </xf>
    <xf numFmtId="176" fontId="19" fillId="5" borderId="0" xfId="0" applyNumberFormat="1" applyFont="1" applyFill="1" applyBorder="1" applyAlignment="1">
      <alignment horizontal="center" vertical="center"/>
    </xf>
    <xf numFmtId="176" fontId="20" fillId="5" borderId="0" xfId="0" applyNumberFormat="1" applyFont="1" applyFill="1" applyBorder="1" applyAlignment="1">
      <alignment horizontal="center" vertical="center"/>
    </xf>
    <xf numFmtId="176" fontId="19" fillId="0" borderId="0" xfId="0" applyNumberFormat="1" applyFont="1" applyAlignment="1">
      <alignment horizontal="center" vertical="center"/>
    </xf>
    <xf numFmtId="176" fontId="19" fillId="0" borderId="19" xfId="0" applyNumberFormat="1" applyFont="1" applyBorder="1" applyAlignment="1">
      <alignment vertical="center"/>
    </xf>
    <xf numFmtId="176" fontId="19" fillId="0" borderId="20" xfId="0" applyNumberFormat="1" applyFont="1" applyFill="1" applyBorder="1" applyAlignment="1">
      <alignment horizontal="center" vertical="center"/>
    </xf>
    <xf numFmtId="176" fontId="19" fillId="0" borderId="21" xfId="0" applyNumberFormat="1" applyFont="1" applyFill="1" applyBorder="1" applyAlignment="1">
      <alignment horizontal="center" vertical="center"/>
    </xf>
    <xf numFmtId="176" fontId="19" fillId="0" borderId="13" xfId="0" applyNumberFormat="1" applyFont="1" applyBorder="1" applyAlignment="1">
      <alignment vertical="center"/>
    </xf>
    <xf numFmtId="176" fontId="19" fillId="0" borderId="14" xfId="0" applyNumberFormat="1" applyFont="1" applyBorder="1" applyAlignment="1">
      <alignment horizontal="center" vertical="center"/>
    </xf>
    <xf numFmtId="176" fontId="19" fillId="0" borderId="22" xfId="0" applyNumberFormat="1" applyFont="1" applyBorder="1" applyAlignment="1">
      <alignment horizontal="center" vertical="center"/>
    </xf>
    <xf numFmtId="176" fontId="19" fillId="0" borderId="15" xfId="0" applyNumberFormat="1" applyFont="1" applyBorder="1" applyAlignment="1">
      <alignment vertical="center"/>
    </xf>
    <xf numFmtId="176" fontId="20" fillId="5" borderId="16" xfId="0" applyNumberFormat="1" applyFont="1" applyFill="1" applyBorder="1" applyAlignment="1">
      <alignment horizontal="center" vertical="center"/>
    </xf>
    <xf numFmtId="176" fontId="19" fillId="0" borderId="0" xfId="0" applyNumberFormat="1" applyFont="1" applyFill="1" applyBorder="1" applyAlignment="1">
      <alignment horizontal="center" vertical="center"/>
    </xf>
    <xf numFmtId="176" fontId="19" fillId="0" borderId="16" xfId="0" applyNumberFormat="1" applyFont="1" applyFill="1" applyBorder="1" applyAlignment="1">
      <alignment horizontal="center" vertical="center"/>
    </xf>
    <xf numFmtId="176" fontId="19" fillId="0" borderId="16" xfId="0" applyNumberFormat="1" applyFont="1" applyBorder="1" applyAlignment="1">
      <alignment horizontal="center" vertical="center"/>
    </xf>
    <xf numFmtId="176" fontId="19" fillId="0" borderId="17" xfId="0" applyNumberFormat="1" applyFont="1" applyBorder="1" applyAlignment="1">
      <alignment vertical="center"/>
    </xf>
    <xf numFmtId="176" fontId="19" fillId="0" borderId="18" xfId="0" applyNumberFormat="1" applyFont="1" applyBorder="1" applyAlignment="1">
      <alignment horizontal="center" vertical="center"/>
    </xf>
    <xf numFmtId="176" fontId="19" fillId="0" borderId="23" xfId="0" applyNumberFormat="1" applyFont="1" applyBorder="1" applyAlignment="1">
      <alignment horizontal="center" vertical="center"/>
    </xf>
    <xf numFmtId="176" fontId="20" fillId="5" borderId="22" xfId="0" applyNumberFormat="1" applyFont="1" applyFill="1" applyBorder="1" applyAlignment="1">
      <alignment horizontal="center" vertical="center"/>
    </xf>
    <xf numFmtId="176" fontId="10" fillId="2" borderId="12" xfId="0" applyNumberFormat="1" applyFont="1" applyFill="1" applyBorder="1" applyAlignment="1">
      <alignment vertical="center"/>
    </xf>
    <xf numFmtId="176" fontId="10" fillId="2" borderId="0" xfId="0" applyNumberFormat="1" applyFont="1" applyFill="1" applyAlignment="1">
      <alignment vertical="center"/>
    </xf>
    <xf numFmtId="176" fontId="9" fillId="0" borderId="3" xfId="0" applyNumberFormat="1" applyFont="1" applyBorder="1" applyAlignment="1">
      <alignment vertical="center"/>
    </xf>
    <xf numFmtId="176" fontId="19" fillId="5" borderId="18" xfId="0" applyNumberFormat="1" applyFont="1" applyFill="1" applyBorder="1" applyAlignment="1">
      <alignment horizontal="center" vertical="center"/>
    </xf>
    <xf numFmtId="176" fontId="20" fillId="5" borderId="23" xfId="0" applyNumberFormat="1" applyFont="1" applyFill="1" applyBorder="1" applyAlignment="1">
      <alignment horizontal="center" vertical="center"/>
    </xf>
    <xf numFmtId="176" fontId="20" fillId="0" borderId="13" xfId="0" applyNumberFormat="1" applyFont="1" applyBorder="1" applyAlignment="1">
      <alignment vertical="center"/>
    </xf>
    <xf numFmtId="176" fontId="19" fillId="0" borderId="14" xfId="0" applyNumberFormat="1" applyFont="1" applyFill="1" applyBorder="1" applyAlignment="1">
      <alignment horizontal="center" vertical="center"/>
    </xf>
    <xf numFmtId="176" fontId="20" fillId="0" borderId="22" xfId="0" applyNumberFormat="1" applyFont="1" applyFill="1" applyBorder="1" applyAlignment="1">
      <alignment horizontal="center" vertical="center"/>
    </xf>
    <xf numFmtId="176" fontId="20" fillId="5" borderId="18" xfId="0" applyNumberFormat="1" applyFont="1" applyFill="1" applyBorder="1" applyAlignment="1">
      <alignment horizontal="center" vertical="center"/>
    </xf>
    <xf numFmtId="176" fontId="9" fillId="0" borderId="20"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10" fillId="3" borderId="19" xfId="0" applyNumberFormat="1" applyFont="1" applyFill="1" applyBorder="1" applyAlignment="1">
      <alignment vertical="center"/>
    </xf>
    <xf numFmtId="176" fontId="19" fillId="5" borderId="14" xfId="0" applyNumberFormat="1" applyFont="1" applyFill="1" applyBorder="1" applyAlignment="1">
      <alignment horizontal="center" vertical="center"/>
    </xf>
    <xf numFmtId="176" fontId="19" fillId="5" borderId="16" xfId="0" applyNumberFormat="1" applyFont="1" applyFill="1" applyBorder="1" applyAlignment="1">
      <alignment horizontal="center" vertical="center"/>
    </xf>
    <xf numFmtId="176" fontId="24" fillId="0" borderId="0" xfId="0" applyNumberFormat="1" applyFont="1" applyBorder="1" applyAlignment="1">
      <alignment horizontal="center" vertical="center"/>
    </xf>
    <xf numFmtId="176" fontId="10" fillId="2" borderId="3" xfId="0" applyNumberFormat="1" applyFont="1" applyFill="1" applyBorder="1" applyAlignment="1">
      <alignment vertical="center"/>
    </xf>
    <xf numFmtId="176" fontId="27" fillId="5" borderId="0" xfId="0" applyNumberFormat="1" applyFont="1" applyFill="1" applyBorder="1" applyAlignment="1">
      <alignment horizontal="center" vertical="center"/>
    </xf>
    <xf numFmtId="176" fontId="27" fillId="5" borderId="16" xfId="0" applyNumberFormat="1" applyFont="1" applyFill="1" applyBorder="1" applyAlignment="1">
      <alignment horizontal="center" vertical="center"/>
    </xf>
    <xf numFmtId="176" fontId="28" fillId="5" borderId="16" xfId="0" applyNumberFormat="1" applyFont="1" applyFill="1" applyBorder="1" applyAlignment="1">
      <alignment horizontal="center" vertical="center"/>
    </xf>
    <xf numFmtId="176" fontId="27" fillId="0" borderId="13" xfId="0" applyNumberFormat="1" applyFont="1" applyBorder="1" applyAlignment="1">
      <alignment vertical="center"/>
    </xf>
    <xf numFmtId="176" fontId="27" fillId="0" borderId="14" xfId="0" applyNumberFormat="1" applyFont="1" applyBorder="1" applyAlignment="1">
      <alignment horizontal="center" vertical="center"/>
    </xf>
    <xf numFmtId="176" fontId="27" fillId="0" borderId="22" xfId="0" applyNumberFormat="1" applyFont="1" applyBorder="1" applyAlignment="1">
      <alignment horizontal="center" vertical="center"/>
    </xf>
    <xf numFmtId="176" fontId="27" fillId="0" borderId="15" xfId="0" applyNumberFormat="1" applyFont="1" applyBorder="1" applyAlignment="1">
      <alignment vertical="center"/>
    </xf>
    <xf numFmtId="176" fontId="27" fillId="0" borderId="0" xfId="0" applyNumberFormat="1" applyFont="1" applyBorder="1" applyAlignment="1">
      <alignment horizontal="center" vertical="center"/>
    </xf>
    <xf numFmtId="176" fontId="27" fillId="0" borderId="16" xfId="0" applyNumberFormat="1" applyFont="1" applyBorder="1" applyAlignment="1">
      <alignment horizontal="center" vertical="center"/>
    </xf>
    <xf numFmtId="176" fontId="26" fillId="7" borderId="3" xfId="0" applyNumberFormat="1" applyFont="1" applyFill="1" applyBorder="1" applyAlignment="1">
      <alignment vertical="center"/>
    </xf>
    <xf numFmtId="176" fontId="27" fillId="0" borderId="0" xfId="0" applyNumberFormat="1" applyFont="1" applyBorder="1" applyAlignment="1">
      <alignment vertical="center"/>
    </xf>
    <xf numFmtId="176" fontId="31" fillId="0" borderId="13" xfId="0" applyNumberFormat="1" applyFont="1" applyBorder="1" applyAlignment="1">
      <alignment vertical="center"/>
    </xf>
    <xf numFmtId="176" fontId="31" fillId="5" borderId="14" xfId="0" applyNumberFormat="1" applyFont="1" applyFill="1" applyBorder="1" applyAlignment="1">
      <alignment horizontal="center" vertical="center"/>
    </xf>
    <xf numFmtId="176" fontId="32" fillId="5" borderId="22" xfId="0" applyNumberFormat="1" applyFont="1" applyFill="1" applyBorder="1" applyAlignment="1">
      <alignment horizontal="center" vertical="center"/>
    </xf>
    <xf numFmtId="176" fontId="31" fillId="0" borderId="15" xfId="0" applyNumberFormat="1" applyFont="1" applyBorder="1" applyAlignment="1">
      <alignment vertical="center"/>
    </xf>
    <xf numFmtId="176" fontId="31" fillId="0" borderId="0" xfId="0" applyNumberFormat="1" applyFont="1" applyFill="1" applyBorder="1" applyAlignment="1">
      <alignment horizontal="center" vertical="center"/>
    </xf>
    <xf numFmtId="176" fontId="31" fillId="0" borderId="16" xfId="0" applyNumberFormat="1" applyFont="1" applyBorder="1" applyAlignment="1">
      <alignment horizontal="center" vertical="center"/>
    </xf>
    <xf numFmtId="176" fontId="31" fillId="0" borderId="0" xfId="0" applyNumberFormat="1" applyFont="1" applyBorder="1" applyAlignment="1">
      <alignment horizontal="center" vertical="center"/>
    </xf>
    <xf numFmtId="176" fontId="31" fillId="5" borderId="0" xfId="0" applyNumberFormat="1" applyFont="1" applyFill="1" applyBorder="1" applyAlignment="1">
      <alignment horizontal="center" vertical="center"/>
    </xf>
    <xf numFmtId="176" fontId="31" fillId="5" borderId="16" xfId="0" applyNumberFormat="1" applyFont="1" applyFill="1" applyBorder="1" applyAlignment="1">
      <alignment horizontal="center" vertical="center"/>
    </xf>
    <xf numFmtId="176" fontId="31" fillId="0" borderId="17" xfId="0" applyNumberFormat="1" applyFont="1" applyBorder="1" applyAlignment="1">
      <alignment vertical="center"/>
    </xf>
    <xf numFmtId="176" fontId="31" fillId="0" borderId="23" xfId="0" applyNumberFormat="1" applyFont="1" applyFill="1" applyBorder="1" applyAlignment="1">
      <alignment horizontal="center" vertical="center"/>
    </xf>
    <xf numFmtId="176" fontId="31" fillId="5" borderId="18" xfId="0" applyNumberFormat="1" applyFont="1" applyFill="1" applyBorder="1" applyAlignment="1">
      <alignment horizontal="center" vertical="center"/>
    </xf>
    <xf numFmtId="176" fontId="26" fillId="8" borderId="3" xfId="0" applyNumberFormat="1" applyFont="1" applyFill="1" applyBorder="1" applyAlignment="1">
      <alignment vertical="center"/>
    </xf>
    <xf numFmtId="176" fontId="31" fillId="0" borderId="0" xfId="0" applyNumberFormat="1" applyFont="1" applyBorder="1" applyAlignment="1">
      <alignment vertical="center"/>
    </xf>
    <xf numFmtId="176" fontId="10" fillId="9" borderId="3" xfId="0" applyNumberFormat="1" applyFont="1" applyFill="1" applyBorder="1" applyAlignment="1">
      <alignment vertical="center"/>
    </xf>
    <xf numFmtId="176" fontId="10" fillId="9" borderId="24" xfId="0" applyNumberFormat="1" applyFont="1" applyFill="1" applyBorder="1" applyAlignment="1">
      <alignment vertical="center"/>
    </xf>
    <xf numFmtId="176" fontId="33" fillId="0" borderId="13" xfId="0" applyNumberFormat="1" applyFont="1" applyBorder="1" applyAlignment="1">
      <alignment vertical="center"/>
    </xf>
    <xf numFmtId="176" fontId="33" fillId="5" borderId="14" xfId="0" applyNumberFormat="1" applyFont="1" applyFill="1" applyBorder="1" applyAlignment="1">
      <alignment horizontal="center" vertical="center"/>
    </xf>
    <xf numFmtId="176" fontId="33" fillId="0" borderId="15" xfId="0" applyNumberFormat="1" applyFont="1" applyBorder="1" applyAlignment="1">
      <alignment vertical="center"/>
    </xf>
    <xf numFmtId="176" fontId="33" fillId="0" borderId="0" xfId="0" applyNumberFormat="1" applyFont="1" applyFill="1" applyBorder="1" applyAlignment="1">
      <alignment horizontal="center" vertical="center"/>
    </xf>
    <xf numFmtId="176" fontId="33" fillId="0" borderId="0" xfId="0" applyNumberFormat="1" applyFont="1" applyBorder="1" applyAlignment="1">
      <alignment horizontal="center" vertical="center"/>
    </xf>
    <xf numFmtId="176" fontId="33" fillId="5" borderId="0" xfId="0" applyNumberFormat="1" applyFont="1" applyFill="1" applyBorder="1" applyAlignment="1">
      <alignment horizontal="center" vertical="center"/>
    </xf>
    <xf numFmtId="176" fontId="33" fillId="0" borderId="17" xfId="0" applyNumberFormat="1" applyFont="1" applyBorder="1" applyAlignment="1">
      <alignment vertical="center"/>
    </xf>
    <xf numFmtId="176" fontId="33" fillId="5" borderId="18" xfId="0" applyNumberFormat="1" applyFont="1" applyFill="1" applyBorder="1" applyAlignment="1">
      <alignment horizontal="center" vertical="center"/>
    </xf>
    <xf numFmtId="176" fontId="27" fillId="6" borderId="16" xfId="0" applyNumberFormat="1" applyFont="1" applyFill="1" applyBorder="1" applyAlignment="1">
      <alignment horizontal="center" vertical="center"/>
    </xf>
    <xf numFmtId="176" fontId="27" fillId="10" borderId="16" xfId="0" applyNumberFormat="1" applyFont="1" applyFill="1" applyBorder="1" applyAlignment="1">
      <alignment horizontal="center" vertical="center"/>
    </xf>
    <xf numFmtId="176" fontId="34" fillId="5" borderId="22" xfId="0" applyNumberFormat="1" applyFont="1" applyFill="1" applyBorder="1" applyAlignment="1">
      <alignment horizontal="center" vertical="center"/>
    </xf>
    <xf numFmtId="176" fontId="33" fillId="0" borderId="16" xfId="0" applyNumberFormat="1" applyFont="1" applyBorder="1" applyAlignment="1">
      <alignment horizontal="center" vertical="center"/>
    </xf>
    <xf numFmtId="176" fontId="34" fillId="5" borderId="16" xfId="0" applyNumberFormat="1" applyFont="1" applyFill="1" applyBorder="1" applyAlignment="1">
      <alignment horizontal="center" vertical="center"/>
    </xf>
    <xf numFmtId="176" fontId="33" fillId="0" borderId="16" xfId="0" applyNumberFormat="1" applyFont="1" applyFill="1" applyBorder="1" applyAlignment="1">
      <alignment horizontal="center" vertical="center"/>
    </xf>
    <xf numFmtId="176" fontId="33" fillId="0" borderId="23" xfId="0" applyNumberFormat="1" applyFont="1" applyFill="1" applyBorder="1" applyAlignment="1">
      <alignment horizontal="center" vertical="center"/>
    </xf>
    <xf numFmtId="176" fontId="34" fillId="5" borderId="23" xfId="0" applyNumberFormat="1" applyFont="1" applyFill="1" applyBorder="1" applyAlignment="1">
      <alignment horizontal="center" vertical="center"/>
    </xf>
    <xf numFmtId="176" fontId="31" fillId="0" borderId="16" xfId="0" applyNumberFormat="1" applyFont="1" applyFill="1" applyBorder="1" applyAlignment="1">
      <alignment horizontal="center" vertical="center"/>
    </xf>
    <xf numFmtId="176" fontId="32" fillId="5" borderId="16" xfId="0" applyNumberFormat="1" applyFont="1" applyFill="1" applyBorder="1" applyAlignment="1">
      <alignment horizontal="center" vertical="center"/>
    </xf>
    <xf numFmtId="176" fontId="32" fillId="5" borderId="23" xfId="0" applyNumberFormat="1" applyFont="1" applyFill="1" applyBorder="1" applyAlignment="1">
      <alignment horizontal="center" vertical="center"/>
    </xf>
    <xf numFmtId="176" fontId="33" fillId="0" borderId="0" xfId="0" applyNumberFormat="1" applyFont="1" applyFill="1" applyBorder="1" applyAlignment="1">
      <alignment vertical="center"/>
    </xf>
    <xf numFmtId="176" fontId="34" fillId="0" borderId="0" xfId="0" applyNumberFormat="1" applyFont="1" applyFill="1" applyBorder="1" applyAlignment="1">
      <alignment horizontal="center" vertical="center"/>
    </xf>
    <xf numFmtId="176" fontId="26" fillId="11" borderId="3" xfId="0" applyNumberFormat="1" applyFont="1" applyFill="1" applyBorder="1" applyAlignment="1">
      <alignment vertical="center"/>
    </xf>
    <xf numFmtId="176" fontId="33" fillId="0" borderId="14" xfId="0" applyNumberFormat="1" applyFont="1" applyBorder="1" applyAlignment="1">
      <alignment horizontal="center" vertical="center"/>
    </xf>
    <xf numFmtId="176" fontId="33" fillId="0" borderId="22" xfId="0" applyNumberFormat="1" applyFont="1" applyBorder="1" applyAlignment="1">
      <alignment horizontal="center" vertical="center"/>
    </xf>
    <xf numFmtId="176" fontId="33" fillId="6" borderId="16" xfId="0" applyNumberFormat="1" applyFont="1" applyFill="1" applyBorder="1" applyAlignment="1">
      <alignment horizontal="center" vertical="center"/>
    </xf>
    <xf numFmtId="176" fontId="33" fillId="10" borderId="16" xfId="0" applyNumberFormat="1" applyFont="1" applyFill="1" applyBorder="1" applyAlignment="1">
      <alignment horizontal="center" vertical="center"/>
    </xf>
    <xf numFmtId="176" fontId="33" fillId="0" borderId="18" xfId="0" applyNumberFormat="1" applyFont="1" applyBorder="1" applyAlignment="1">
      <alignment horizontal="center" vertical="center"/>
    </xf>
    <xf numFmtId="176" fontId="33" fillId="10" borderId="23" xfId="0" applyNumberFormat="1" applyFont="1" applyFill="1" applyBorder="1" applyAlignment="1">
      <alignment horizontal="center" vertical="center"/>
    </xf>
    <xf numFmtId="176" fontId="9" fillId="6" borderId="20" xfId="0" applyNumberFormat="1" applyFont="1" applyFill="1" applyBorder="1" applyAlignment="1">
      <alignment horizontal="center" vertical="center"/>
    </xf>
    <xf numFmtId="176" fontId="9" fillId="6" borderId="21" xfId="0" applyNumberFormat="1" applyFont="1" applyFill="1" applyBorder="1" applyAlignment="1">
      <alignment horizontal="center" vertical="center"/>
    </xf>
    <xf numFmtId="176" fontId="33" fillId="0" borderId="23" xfId="0" applyNumberFormat="1" applyFont="1" applyBorder="1" applyAlignment="1">
      <alignment horizontal="center" vertical="center"/>
    </xf>
    <xf numFmtId="176" fontId="9" fillId="0" borderId="22" xfId="0" applyNumberFormat="1" applyFont="1" applyBorder="1" applyAlignment="1">
      <alignment horizontal="center" vertical="center"/>
    </xf>
    <xf numFmtId="176" fontId="0" fillId="5" borderId="0" xfId="0" applyNumberFormat="1" applyFont="1" applyFill="1" applyBorder="1" applyAlignment="1">
      <alignment horizontal="center" vertical="center"/>
    </xf>
    <xf numFmtId="176" fontId="9" fillId="5" borderId="16" xfId="0" applyNumberFormat="1" applyFont="1" applyFill="1" applyBorder="1" applyAlignment="1">
      <alignment horizontal="center" vertical="center"/>
    </xf>
    <xf numFmtId="176" fontId="9" fillId="0" borderId="16" xfId="0" applyNumberFormat="1" applyFont="1" applyFill="1" applyBorder="1" applyAlignment="1">
      <alignment horizontal="center" vertical="center"/>
    </xf>
    <xf numFmtId="176" fontId="0" fillId="0" borderId="0" xfId="0" applyNumberFormat="1" applyFont="1" applyBorder="1" applyAlignment="1">
      <alignment horizontal="center" vertical="center"/>
    </xf>
    <xf numFmtId="176" fontId="9" fillId="0" borderId="23" xfId="0" applyNumberFormat="1" applyFont="1" applyBorder="1" applyAlignment="1">
      <alignment horizontal="center" vertical="center"/>
    </xf>
    <xf numFmtId="176" fontId="9" fillId="5" borderId="14" xfId="0" applyNumberFormat="1" applyFont="1" applyFill="1" applyBorder="1" applyAlignment="1">
      <alignment horizontal="center" vertical="center"/>
    </xf>
    <xf numFmtId="176" fontId="9" fillId="5" borderId="22" xfId="0" applyNumberFormat="1" applyFont="1" applyFill="1" applyBorder="1" applyAlignment="1">
      <alignment horizontal="center" vertical="center"/>
    </xf>
    <xf numFmtId="176" fontId="9" fillId="5" borderId="0" xfId="0" applyNumberFormat="1" applyFont="1" applyFill="1" applyBorder="1" applyAlignment="1">
      <alignment horizontal="center" vertical="center"/>
    </xf>
    <xf numFmtId="176" fontId="9" fillId="5" borderId="18" xfId="0" applyNumberFormat="1" applyFont="1" applyFill="1" applyBorder="1" applyAlignment="1">
      <alignment horizontal="center" vertical="center"/>
    </xf>
    <xf numFmtId="176" fontId="9" fillId="5" borderId="23" xfId="0" applyNumberFormat="1" applyFont="1" applyFill="1" applyBorder="1" applyAlignment="1">
      <alignment horizontal="center" vertical="center"/>
    </xf>
    <xf numFmtId="176" fontId="10" fillId="8" borderId="12" xfId="0" applyNumberFormat="1" applyFont="1" applyFill="1" applyBorder="1" applyAlignment="1">
      <alignment vertical="center"/>
    </xf>
    <xf numFmtId="176" fontId="26" fillId="12" borderId="3" xfId="0" applyNumberFormat="1" applyFont="1" applyFill="1" applyBorder="1" applyAlignment="1">
      <alignment vertical="center"/>
    </xf>
    <xf numFmtId="176" fontId="0" fillId="0" borderId="0" xfId="0" applyNumberFormat="1" applyBorder="1" applyAlignment="1">
      <alignment horizontal="center" vertical="center"/>
    </xf>
    <xf numFmtId="176" fontId="31" fillId="0" borderId="18" xfId="0" applyNumberFormat="1" applyFont="1" applyBorder="1" applyAlignment="1">
      <alignment horizontal="center" vertical="center"/>
    </xf>
    <xf numFmtId="176" fontId="31" fillId="0" borderId="23" xfId="0" applyNumberFormat="1" applyFont="1" applyBorder="1" applyAlignment="1">
      <alignment horizontal="center" vertical="center"/>
    </xf>
    <xf numFmtId="176" fontId="9" fillId="0" borderId="15" xfId="0" applyNumberFormat="1" applyFont="1" applyFill="1" applyBorder="1" applyAlignment="1">
      <alignment vertical="center"/>
    </xf>
    <xf numFmtId="176" fontId="9" fillId="0" borderId="16" xfId="0" applyNumberFormat="1" applyFont="1" applyFill="1" applyBorder="1" applyAlignment="1">
      <alignment vertical="center"/>
    </xf>
    <xf numFmtId="176" fontId="9" fillId="13" borderId="0" xfId="0" applyNumberFormat="1" applyFont="1" applyFill="1" applyBorder="1" applyAlignment="1">
      <alignment vertical="center"/>
    </xf>
    <xf numFmtId="0" fontId="0" fillId="0" borderId="0" xfId="0" applyBorder="1" applyAlignment="1">
      <alignment/>
    </xf>
    <xf numFmtId="0" fontId="0" fillId="0" borderId="1" xfId="0" applyBorder="1" applyAlignment="1">
      <alignment/>
    </xf>
    <xf numFmtId="0" fontId="0" fillId="0" borderId="25" xfId="0" applyBorder="1" applyAlignment="1">
      <alignment/>
    </xf>
    <xf numFmtId="176" fontId="7" fillId="0" borderId="0" xfId="0" applyNumberFormat="1" applyFont="1" applyBorder="1" applyAlignment="1">
      <alignment horizontal="center" vertical="center"/>
    </xf>
    <xf numFmtId="176" fontId="9" fillId="5" borderId="0" xfId="0" applyNumberFormat="1" applyFont="1" applyFill="1" applyBorder="1" applyAlignment="1">
      <alignment vertical="center"/>
    </xf>
    <xf numFmtId="176" fontId="9" fillId="5" borderId="16" xfId="0" applyNumberFormat="1" applyFont="1" applyFill="1" applyBorder="1" applyAlignment="1">
      <alignment vertical="center"/>
    </xf>
    <xf numFmtId="176" fontId="10" fillId="8" borderId="3" xfId="0" applyNumberFormat="1" applyFont="1" applyFill="1" applyBorder="1" applyAlignment="1">
      <alignment vertical="center"/>
    </xf>
    <xf numFmtId="0" fontId="9" fillId="0" borderId="15" xfId="0" applyFont="1" applyBorder="1" applyAlignment="1">
      <alignment/>
    </xf>
    <xf numFmtId="176" fontId="31" fillId="0" borderId="15" xfId="0" applyNumberFormat="1" applyFont="1" applyFill="1" applyBorder="1" applyAlignment="1">
      <alignment vertical="center"/>
    </xf>
    <xf numFmtId="177" fontId="31" fillId="0" borderId="16" xfId="0" applyNumberFormat="1" applyFont="1" applyFill="1" applyBorder="1" applyAlignment="1">
      <alignment horizontal="center" vertical="center"/>
    </xf>
    <xf numFmtId="176" fontId="33" fillId="0" borderId="0" xfId="0" applyNumberFormat="1" applyFont="1" applyBorder="1" applyAlignment="1">
      <alignment vertical="center"/>
    </xf>
    <xf numFmtId="0" fontId="40" fillId="0" borderId="0" xfId="0" applyFont="1" applyAlignment="1">
      <alignment/>
    </xf>
    <xf numFmtId="0" fontId="41" fillId="0" borderId="0" xfId="0" applyFont="1" applyAlignment="1">
      <alignment/>
    </xf>
    <xf numFmtId="0" fontId="0" fillId="13" borderId="0" xfId="0" applyFill="1" applyBorder="1" applyAlignment="1">
      <alignment/>
    </xf>
    <xf numFmtId="0" fontId="0" fillId="13" borderId="0" xfId="0" applyFill="1" applyBorder="1" applyAlignment="1">
      <alignment/>
    </xf>
    <xf numFmtId="0" fontId="0" fillId="13" borderId="0" xfId="0" applyFill="1" applyAlignment="1">
      <alignment/>
    </xf>
    <xf numFmtId="176" fontId="9" fillId="14" borderId="3" xfId="0" applyNumberFormat="1" applyFont="1" applyFill="1" applyBorder="1" applyAlignment="1">
      <alignment vertical="center"/>
    </xf>
    <xf numFmtId="176" fontId="19" fillId="13" borderId="0" xfId="0" applyNumberFormat="1" applyFont="1" applyFill="1" applyBorder="1" applyAlignment="1">
      <alignment horizontal="center" vertical="center"/>
    </xf>
    <xf numFmtId="176" fontId="19" fillId="13" borderId="16" xfId="0" applyNumberFormat="1" applyFont="1" applyFill="1" applyBorder="1" applyAlignment="1">
      <alignment horizontal="center" vertical="center"/>
    </xf>
    <xf numFmtId="176" fontId="19" fillId="0" borderId="15" xfId="0" applyNumberFormat="1" applyFont="1" applyFill="1" applyBorder="1" applyAlignment="1">
      <alignment vertical="center"/>
    </xf>
    <xf numFmtId="176" fontId="19" fillId="0" borderId="0" xfId="0" applyNumberFormat="1" applyFont="1" applyFill="1" applyBorder="1" applyAlignment="1">
      <alignment vertical="center"/>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4" borderId="2" xfId="0" applyFill="1" applyBorder="1" applyAlignment="1">
      <alignment/>
    </xf>
    <xf numFmtId="0" fontId="0" fillId="4" borderId="26" xfId="0" applyFill="1" applyBorder="1" applyAlignment="1">
      <alignment/>
    </xf>
    <xf numFmtId="0" fontId="0" fillId="4" borderId="27" xfId="0" applyFill="1" applyBorder="1" applyAlignment="1">
      <alignment/>
    </xf>
    <xf numFmtId="0" fontId="0" fillId="4" borderId="28" xfId="0" applyFill="1" applyBorder="1" applyAlignment="1">
      <alignment/>
    </xf>
    <xf numFmtId="0" fontId="0" fillId="4" borderId="0" xfId="0" applyFill="1" applyBorder="1" applyAlignment="1">
      <alignment/>
    </xf>
    <xf numFmtId="0" fontId="0" fillId="4" borderId="29" xfId="0" applyFill="1" applyBorder="1" applyAlignment="1">
      <alignment/>
    </xf>
    <xf numFmtId="0" fontId="0" fillId="4" borderId="30" xfId="0" applyFill="1" applyBorder="1" applyAlignment="1">
      <alignment/>
    </xf>
    <xf numFmtId="0" fontId="0" fillId="4" borderId="1" xfId="0" applyFill="1" applyBorder="1" applyAlignment="1">
      <alignment/>
    </xf>
    <xf numFmtId="0" fontId="0" fillId="4" borderId="31" xfId="0" applyFill="1" applyBorder="1" applyAlignment="1">
      <alignment/>
    </xf>
    <xf numFmtId="0" fontId="0" fillId="9" borderId="2" xfId="0" applyFill="1" applyBorder="1" applyAlignment="1">
      <alignment/>
    </xf>
    <xf numFmtId="0" fontId="0" fillId="9" borderId="26" xfId="0" applyFill="1" applyBorder="1" applyAlignment="1">
      <alignment/>
    </xf>
    <xf numFmtId="0" fontId="0" fillId="9" borderId="27" xfId="0" applyFill="1" applyBorder="1" applyAlignment="1">
      <alignment/>
    </xf>
    <xf numFmtId="0" fontId="0" fillId="9" borderId="28" xfId="0" applyFill="1" applyBorder="1" applyAlignment="1">
      <alignment/>
    </xf>
    <xf numFmtId="0" fontId="0" fillId="9" borderId="0" xfId="0" applyFill="1" applyBorder="1" applyAlignment="1">
      <alignment/>
    </xf>
    <xf numFmtId="0" fontId="0" fillId="9" borderId="29" xfId="0" applyFill="1" applyBorder="1" applyAlignment="1">
      <alignment/>
    </xf>
    <xf numFmtId="0" fontId="0" fillId="9" borderId="30" xfId="0" applyFill="1" applyBorder="1" applyAlignment="1">
      <alignment/>
    </xf>
    <xf numFmtId="0" fontId="0" fillId="9" borderId="1" xfId="0" applyFill="1" applyBorder="1" applyAlignment="1">
      <alignment/>
    </xf>
    <xf numFmtId="0" fontId="0" fillId="9" borderId="31" xfId="0" applyFill="1" applyBorder="1" applyAlignment="1">
      <alignment/>
    </xf>
    <xf numFmtId="0" fontId="42" fillId="2" borderId="0" xfId="0" applyFont="1" applyFill="1" applyAlignment="1">
      <alignment/>
    </xf>
    <xf numFmtId="176" fontId="26" fillId="15" borderId="0" xfId="0" applyNumberFormat="1" applyFont="1" applyFill="1" applyBorder="1" applyAlignment="1">
      <alignment vertical="center"/>
    </xf>
    <xf numFmtId="0" fontId="43" fillId="15" borderId="0" xfId="0" applyFont="1" applyFill="1" applyAlignment="1">
      <alignment/>
    </xf>
    <xf numFmtId="182" fontId="9" fillId="0" borderId="16" xfId="0" applyNumberFormat="1" applyFont="1" applyBorder="1" applyAlignment="1">
      <alignment horizontal="center" vertical="center"/>
    </xf>
    <xf numFmtId="0" fontId="0" fillId="4" borderId="0" xfId="0" applyFill="1" applyBorder="1" applyAlignment="1">
      <alignment/>
    </xf>
    <xf numFmtId="0" fontId="0" fillId="4" borderId="0" xfId="0" applyFill="1" applyBorder="1" applyAlignment="1">
      <alignment/>
    </xf>
    <xf numFmtId="0" fontId="0" fillId="4" borderId="0" xfId="0" applyFill="1" applyBorder="1" applyAlignment="1">
      <alignment/>
    </xf>
    <xf numFmtId="0" fontId="0" fillId="16" borderId="0" xfId="0" applyFill="1" applyAlignment="1">
      <alignment/>
    </xf>
    <xf numFmtId="176" fontId="19" fillId="16" borderId="0" xfId="0" applyNumberFormat="1" applyFont="1" applyFill="1" applyBorder="1" applyAlignment="1">
      <alignment horizontal="center" vertical="center"/>
    </xf>
    <xf numFmtId="176" fontId="19" fillId="16" borderId="16" xfId="0" applyNumberFormat="1" applyFont="1" applyFill="1" applyBorder="1" applyAlignment="1">
      <alignment horizontal="center" vertical="center"/>
    </xf>
    <xf numFmtId="183" fontId="9" fillId="0" borderId="16" xfId="0" applyNumberFormat="1" applyFont="1" applyBorder="1" applyAlignment="1">
      <alignment horizontal="center" vertical="center"/>
    </xf>
    <xf numFmtId="0" fontId="0" fillId="0" borderId="0" xfId="0" applyBorder="1" applyAlignment="1">
      <alignment/>
    </xf>
    <xf numFmtId="0" fontId="0" fillId="17" borderId="0" xfId="0" applyFill="1" applyAlignment="1">
      <alignment/>
    </xf>
    <xf numFmtId="0" fontId="0" fillId="18" borderId="0" xfId="0" applyFill="1" applyAlignment="1">
      <alignment/>
    </xf>
    <xf numFmtId="0" fontId="0" fillId="17" borderId="0" xfId="0" applyFill="1" applyBorder="1" applyAlignment="1">
      <alignment/>
    </xf>
    <xf numFmtId="0" fontId="0" fillId="2" borderId="0" xfId="0" applyFill="1" applyAlignment="1">
      <alignment/>
    </xf>
    <xf numFmtId="176" fontId="9" fillId="17" borderId="0" xfId="0" applyNumberFormat="1" applyFont="1" applyFill="1" applyBorder="1" applyAlignment="1">
      <alignment horizontal="center" vertical="center"/>
    </xf>
    <xf numFmtId="0" fontId="0" fillId="17" borderId="0" xfId="0" applyFont="1" applyFill="1" applyBorder="1" applyAlignment="1">
      <alignment/>
    </xf>
    <xf numFmtId="182" fontId="0" fillId="0" borderId="0" xfId="0" applyNumberFormat="1" applyBorder="1" applyAlignment="1">
      <alignment/>
    </xf>
    <xf numFmtId="0" fontId="0" fillId="0" borderId="0" xfId="0" applyAlignment="1">
      <alignment horizontal="center"/>
    </xf>
    <xf numFmtId="0" fontId="0" fillId="5" borderId="0" xfId="0" applyFill="1" applyAlignment="1">
      <alignment horizontal="center"/>
    </xf>
    <xf numFmtId="183" fontId="33" fillId="10" borderId="16" xfId="0" applyNumberFormat="1" applyFont="1" applyFill="1" applyBorder="1" applyAlignment="1">
      <alignment horizontal="center" vertical="center"/>
    </xf>
    <xf numFmtId="1" fontId="27" fillId="5" borderId="16" xfId="0" applyNumberFormat="1" applyFont="1" applyFill="1" applyBorder="1" applyAlignment="1" applyProtection="1">
      <alignment horizontal="center" vertical="center"/>
      <protection locked="0"/>
    </xf>
    <xf numFmtId="176" fontId="27" fillId="5" borderId="16" xfId="0" applyNumberFormat="1" applyFont="1" applyFill="1" applyBorder="1" applyAlignment="1" applyProtection="1">
      <alignment horizontal="center" vertical="center"/>
      <protection locked="0"/>
    </xf>
    <xf numFmtId="0" fontId="0" fillId="0" borderId="0" xfId="0" applyBorder="1" applyAlignment="1" applyProtection="1">
      <alignment/>
      <protection/>
    </xf>
    <xf numFmtId="0" fontId="0" fillId="0" borderId="0" xfId="0" applyAlignment="1" applyProtection="1">
      <alignment/>
      <protection/>
    </xf>
    <xf numFmtId="176" fontId="26" fillId="7" borderId="3" xfId="0" applyNumberFormat="1" applyFont="1" applyFill="1" applyBorder="1" applyAlignment="1" applyProtection="1">
      <alignment vertical="center"/>
      <protection/>
    </xf>
    <xf numFmtId="176" fontId="9" fillId="7" borderId="14" xfId="0" applyNumberFormat="1" applyFont="1" applyFill="1" applyBorder="1" applyAlignment="1" applyProtection="1">
      <alignment horizontal="center" vertical="center"/>
      <protection/>
    </xf>
    <xf numFmtId="176" fontId="9" fillId="7" borderId="22" xfId="0" applyNumberFormat="1" applyFont="1" applyFill="1" applyBorder="1" applyAlignment="1" applyProtection="1">
      <alignment horizontal="center" vertical="center"/>
      <protection/>
    </xf>
    <xf numFmtId="0" fontId="0" fillId="0" borderId="0" xfId="0" applyBorder="1" applyAlignment="1" applyProtection="1">
      <alignment/>
      <protection/>
    </xf>
    <xf numFmtId="176" fontId="27" fillId="0" borderId="15" xfId="0" applyNumberFormat="1" applyFont="1" applyBorder="1" applyAlignment="1" applyProtection="1">
      <alignment vertical="center"/>
      <protection/>
    </xf>
    <xf numFmtId="176" fontId="27" fillId="5" borderId="0" xfId="0" applyNumberFormat="1" applyFont="1" applyFill="1" applyBorder="1" applyAlignment="1" applyProtection="1">
      <alignment horizontal="center" vertical="center"/>
      <protection/>
    </xf>
    <xf numFmtId="176" fontId="27" fillId="0" borderId="0" xfId="0" applyNumberFormat="1" applyFont="1" applyBorder="1" applyAlignment="1" applyProtection="1">
      <alignment horizontal="center" vertical="center"/>
      <protection/>
    </xf>
    <xf numFmtId="10" fontId="27" fillId="0" borderId="16" xfId="0" applyNumberFormat="1" applyFont="1" applyBorder="1" applyAlignment="1" applyProtection="1">
      <alignment horizontal="center" vertical="center"/>
      <protection/>
    </xf>
    <xf numFmtId="176" fontId="27" fillId="0" borderId="15" xfId="0" applyNumberFormat="1" applyFont="1" applyFill="1" applyBorder="1" applyAlignment="1" applyProtection="1">
      <alignment vertical="center"/>
      <protection/>
    </xf>
    <xf numFmtId="176" fontId="27" fillId="0" borderId="16" xfId="0" applyNumberFormat="1" applyFont="1" applyBorder="1" applyAlignment="1" applyProtection="1">
      <alignment horizontal="center" vertical="center"/>
      <protection/>
    </xf>
    <xf numFmtId="176" fontId="46" fillId="0" borderId="0" xfId="0" applyNumberFormat="1" applyFont="1" applyFill="1" applyBorder="1" applyAlignment="1" applyProtection="1">
      <alignment horizontal="center" vertical="center"/>
      <protection/>
    </xf>
    <xf numFmtId="176" fontId="27" fillId="0" borderId="16" xfId="0" applyNumberFormat="1" applyFont="1" applyFill="1" applyBorder="1" applyAlignment="1" applyProtection="1">
      <alignment horizontal="center" vertical="center"/>
      <protection/>
    </xf>
    <xf numFmtId="176" fontId="31" fillId="0" borderId="15" xfId="0" applyNumberFormat="1" applyFont="1" applyBorder="1" applyAlignment="1" applyProtection="1">
      <alignment vertical="center"/>
      <protection/>
    </xf>
    <xf numFmtId="176" fontId="31" fillId="0" borderId="0" xfId="0" applyNumberFormat="1" applyFont="1" applyBorder="1" applyAlignment="1" applyProtection="1">
      <alignment horizontal="center" vertical="center"/>
      <protection/>
    </xf>
    <xf numFmtId="176" fontId="31" fillId="0" borderId="16" xfId="0" applyNumberFormat="1" applyFont="1" applyBorder="1" applyAlignment="1" applyProtection="1">
      <alignment horizontal="center" vertical="center"/>
      <protection/>
    </xf>
    <xf numFmtId="176" fontId="32" fillId="0" borderId="17" xfId="0" applyNumberFormat="1" applyFont="1" applyFill="1" applyBorder="1" applyAlignment="1" applyProtection="1">
      <alignment vertical="center"/>
      <protection/>
    </xf>
    <xf numFmtId="176" fontId="32" fillId="0" borderId="18" xfId="0" applyNumberFormat="1" applyFont="1" applyFill="1" applyBorder="1" applyAlignment="1" applyProtection="1">
      <alignment horizontal="center" vertical="center"/>
      <protection/>
    </xf>
    <xf numFmtId="187" fontId="32" fillId="0" borderId="23" xfId="0" applyNumberFormat="1" applyFont="1" applyBorder="1" applyAlignment="1" applyProtection="1">
      <alignment horizontal="center" vertical="center"/>
      <protection/>
    </xf>
    <xf numFmtId="176" fontId="31" fillId="0" borderId="0" xfId="0" applyNumberFormat="1" applyFont="1" applyFill="1" applyBorder="1" applyAlignment="1" applyProtection="1">
      <alignment vertical="center"/>
      <protection/>
    </xf>
    <xf numFmtId="176" fontId="31" fillId="0" borderId="0" xfId="0" applyNumberFormat="1" applyFont="1" applyFill="1" applyBorder="1" applyAlignment="1" applyProtection="1">
      <alignment horizontal="center" vertical="center"/>
      <protection/>
    </xf>
    <xf numFmtId="187" fontId="31" fillId="0" borderId="0" xfId="0" applyNumberFormat="1" applyFont="1" applyBorder="1" applyAlignment="1" applyProtection="1">
      <alignment horizontal="center" vertical="center"/>
      <protection/>
    </xf>
    <xf numFmtId="176" fontId="26" fillId="3" borderId="13" xfId="0" applyNumberFormat="1" applyFont="1" applyFill="1" applyBorder="1" applyAlignment="1" applyProtection="1">
      <alignment vertical="center"/>
      <protection/>
    </xf>
    <xf numFmtId="176" fontId="9" fillId="3" borderId="14" xfId="0" applyNumberFormat="1" applyFont="1" applyFill="1" applyBorder="1" applyAlignment="1" applyProtection="1">
      <alignment horizontal="center" vertical="center"/>
      <protection/>
    </xf>
    <xf numFmtId="176" fontId="9" fillId="3" borderId="22" xfId="0" applyNumberFormat="1" applyFont="1" applyFill="1" applyBorder="1" applyAlignment="1" applyProtection="1">
      <alignment horizontal="center" vertical="center"/>
      <protection/>
    </xf>
    <xf numFmtId="176" fontId="19" fillId="0" borderId="0" xfId="0" applyNumberFormat="1" applyFont="1" applyBorder="1" applyAlignment="1" applyProtection="1">
      <alignment horizontal="center" vertical="center"/>
      <protection/>
    </xf>
    <xf numFmtId="187" fontId="31" fillId="0" borderId="16" xfId="0" applyNumberFormat="1" applyFont="1" applyBorder="1" applyAlignment="1" applyProtection="1">
      <alignment horizontal="center" vertical="center"/>
      <protection/>
    </xf>
    <xf numFmtId="176" fontId="32" fillId="0" borderId="0" xfId="0" applyNumberFormat="1" applyFont="1" applyFill="1" applyBorder="1" applyAlignment="1" applyProtection="1">
      <alignment vertical="center"/>
      <protection/>
    </xf>
    <xf numFmtId="176" fontId="32" fillId="0" borderId="0" xfId="0" applyNumberFormat="1" applyFont="1" applyFill="1" applyBorder="1" applyAlignment="1" applyProtection="1">
      <alignment horizontal="center" vertical="center"/>
      <protection/>
    </xf>
    <xf numFmtId="187" fontId="32" fillId="0" borderId="0" xfId="0" applyNumberFormat="1" applyFont="1" applyBorder="1" applyAlignment="1" applyProtection="1">
      <alignment horizontal="center" vertical="center"/>
      <protection/>
    </xf>
    <xf numFmtId="176" fontId="26" fillId="18" borderId="13" xfId="0" applyNumberFormat="1" applyFont="1" applyFill="1" applyBorder="1" applyAlignment="1" applyProtection="1">
      <alignment vertical="center"/>
      <protection/>
    </xf>
    <xf numFmtId="176" fontId="9" fillId="18" borderId="14" xfId="0" applyNumberFormat="1" applyFont="1" applyFill="1" applyBorder="1" applyAlignment="1" applyProtection="1">
      <alignment horizontal="center" vertical="center"/>
      <protection/>
    </xf>
    <xf numFmtId="176" fontId="9" fillId="18" borderId="22" xfId="0" applyNumberFormat="1" applyFont="1" applyFill="1" applyBorder="1" applyAlignment="1" applyProtection="1">
      <alignment horizontal="center" vertical="center"/>
      <protection/>
    </xf>
    <xf numFmtId="176" fontId="28" fillId="0" borderId="15" xfId="0" applyNumberFormat="1" applyFont="1" applyBorder="1" applyAlignment="1" applyProtection="1">
      <alignment vertical="center"/>
      <protection/>
    </xf>
    <xf numFmtId="176" fontId="28" fillId="5" borderId="0" xfId="0" applyNumberFormat="1" applyFont="1" applyFill="1" applyBorder="1" applyAlignment="1" applyProtection="1">
      <alignment horizontal="center" vertical="center"/>
      <protection/>
    </xf>
    <xf numFmtId="176" fontId="27" fillId="0" borderId="0" xfId="0" applyNumberFormat="1" applyFont="1" applyFill="1" applyBorder="1" applyAlignment="1" applyProtection="1">
      <alignment horizontal="center" vertical="center"/>
      <protection/>
    </xf>
    <xf numFmtId="176" fontId="31" fillId="0" borderId="17" xfId="0" applyNumberFormat="1" applyFont="1" applyBorder="1" applyAlignment="1" applyProtection="1">
      <alignment vertical="center"/>
      <protection/>
    </xf>
    <xf numFmtId="176" fontId="31" fillId="0" borderId="18" xfId="0" applyNumberFormat="1" applyFont="1" applyFill="1" applyBorder="1" applyAlignment="1" applyProtection="1">
      <alignment horizontal="center" vertical="center"/>
      <protection/>
    </xf>
    <xf numFmtId="1" fontId="31" fillId="0" borderId="23" xfId="0" applyNumberFormat="1" applyFont="1" applyFill="1" applyBorder="1" applyAlignment="1" applyProtection="1">
      <alignment horizontal="center" vertical="center"/>
      <protection/>
    </xf>
    <xf numFmtId="176" fontId="32" fillId="0" borderId="0" xfId="0" applyNumberFormat="1" applyFont="1" applyBorder="1" applyAlignment="1" applyProtection="1">
      <alignment vertical="center"/>
      <protection/>
    </xf>
    <xf numFmtId="1" fontId="32" fillId="0" borderId="0" xfId="0" applyNumberFormat="1" applyFont="1" applyFill="1" applyBorder="1" applyAlignment="1" applyProtection="1">
      <alignment horizontal="center" vertical="center"/>
      <protection/>
    </xf>
    <xf numFmtId="176" fontId="32" fillId="0" borderId="15" xfId="0" applyNumberFormat="1" applyFont="1" applyFill="1" applyBorder="1" applyAlignment="1" applyProtection="1">
      <alignment vertical="center"/>
      <protection/>
    </xf>
    <xf numFmtId="187" fontId="32" fillId="0" borderId="16" xfId="0" applyNumberFormat="1" applyFont="1" applyBorder="1" applyAlignment="1" applyProtection="1">
      <alignment horizontal="center" vertical="center"/>
      <protection/>
    </xf>
    <xf numFmtId="187" fontId="28" fillId="5" borderId="16" xfId="0" applyNumberFormat="1" applyFont="1" applyFill="1" applyBorder="1" applyAlignment="1" applyProtection="1">
      <alignment horizontal="center" vertical="center"/>
      <protection locked="0"/>
    </xf>
    <xf numFmtId="176" fontId="26" fillId="3" borderId="13" xfId="0" applyNumberFormat="1" applyFont="1" applyFill="1" applyBorder="1" applyAlignment="1" applyProtection="1">
      <alignment horizontal="left" vertical="center"/>
      <protection/>
    </xf>
    <xf numFmtId="176" fontId="26" fillId="3" borderId="14" xfId="0" applyNumberFormat="1" applyFont="1" applyFill="1" applyBorder="1" applyAlignment="1" applyProtection="1">
      <alignment horizontal="left" vertical="center"/>
      <protection/>
    </xf>
    <xf numFmtId="176" fontId="26" fillId="3" borderId="22" xfId="0" applyNumberFormat="1" applyFont="1" applyFill="1" applyBorder="1" applyAlignment="1" applyProtection="1">
      <alignment horizontal="left" vertical="center"/>
      <protection/>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hyperlink" Target="mailto:josean.martinez@upct.es" TargetMode="External" /></Relationships>
</file>

<file path=xl/drawings/_rels/vmlDrawing7.v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326</xdr:row>
      <xdr:rowOff>0</xdr:rowOff>
    </xdr:from>
    <xdr:to>
      <xdr:col>0</xdr:col>
      <xdr:colOff>200025</xdr:colOff>
      <xdr:row>327</xdr:row>
      <xdr:rowOff>38100</xdr:rowOff>
    </xdr:to>
    <xdr:pic>
      <xdr:nvPicPr>
        <xdr:cNvPr id="1" name="Picture 2"/>
        <xdr:cNvPicPr preferRelativeResize="1">
          <a:picLocks noChangeAspect="1"/>
        </xdr:cNvPicPr>
      </xdr:nvPicPr>
      <xdr:blipFill>
        <a:blip r:embed="rId1"/>
        <a:stretch>
          <a:fillRect/>
        </a:stretch>
      </xdr:blipFill>
      <xdr:spPr>
        <a:xfrm>
          <a:off x="0" y="53197125"/>
          <a:ext cx="200025" cy="200025"/>
        </a:xfrm>
        <a:prstGeom prst="rect">
          <a:avLst/>
        </a:prstGeom>
        <a:noFill/>
        <a:ln w="9525" cmpd="sng">
          <a:noFill/>
        </a:ln>
      </xdr:spPr>
    </xdr:pic>
    <xdr:clientData/>
  </xdr:twoCellAnchor>
  <xdr:twoCellAnchor editAs="oneCell">
    <xdr:from>
      <xdr:col>0</xdr:col>
      <xdr:colOff>0</xdr:colOff>
      <xdr:row>328</xdr:row>
      <xdr:rowOff>0</xdr:rowOff>
    </xdr:from>
    <xdr:to>
      <xdr:col>0</xdr:col>
      <xdr:colOff>685800</xdr:colOff>
      <xdr:row>329</xdr:row>
      <xdr:rowOff>38100</xdr:rowOff>
    </xdr:to>
    <xdr:pic>
      <xdr:nvPicPr>
        <xdr:cNvPr id="2" name="Picture 3"/>
        <xdr:cNvPicPr preferRelativeResize="1">
          <a:picLocks noChangeAspect="1"/>
        </xdr:cNvPicPr>
      </xdr:nvPicPr>
      <xdr:blipFill>
        <a:blip r:embed="rId2"/>
        <a:stretch>
          <a:fillRect/>
        </a:stretch>
      </xdr:blipFill>
      <xdr:spPr>
        <a:xfrm>
          <a:off x="0" y="53520975"/>
          <a:ext cx="685800" cy="200025"/>
        </a:xfrm>
        <a:prstGeom prst="rect">
          <a:avLst/>
        </a:prstGeom>
        <a:noFill/>
        <a:ln w="9525" cmpd="sng">
          <a:noFill/>
        </a:ln>
      </xdr:spPr>
    </xdr:pic>
    <xdr:clientData/>
  </xdr:twoCellAnchor>
  <xdr:twoCellAnchor editAs="oneCell">
    <xdr:from>
      <xdr:col>0</xdr:col>
      <xdr:colOff>0</xdr:colOff>
      <xdr:row>330</xdr:row>
      <xdr:rowOff>0</xdr:rowOff>
    </xdr:from>
    <xdr:to>
      <xdr:col>0</xdr:col>
      <xdr:colOff>666750</xdr:colOff>
      <xdr:row>331</xdr:row>
      <xdr:rowOff>38100</xdr:rowOff>
    </xdr:to>
    <xdr:pic>
      <xdr:nvPicPr>
        <xdr:cNvPr id="3" name="Picture 4"/>
        <xdr:cNvPicPr preferRelativeResize="1">
          <a:picLocks noChangeAspect="1"/>
        </xdr:cNvPicPr>
      </xdr:nvPicPr>
      <xdr:blipFill>
        <a:blip r:embed="rId3"/>
        <a:stretch>
          <a:fillRect/>
        </a:stretch>
      </xdr:blipFill>
      <xdr:spPr>
        <a:xfrm>
          <a:off x="0" y="53844825"/>
          <a:ext cx="666750" cy="200025"/>
        </a:xfrm>
        <a:prstGeom prst="rect">
          <a:avLst/>
        </a:prstGeom>
        <a:noFill/>
        <a:ln w="9525" cmpd="sng">
          <a:noFill/>
        </a:ln>
      </xdr:spPr>
    </xdr:pic>
    <xdr:clientData/>
  </xdr:twoCellAnchor>
  <xdr:twoCellAnchor editAs="oneCell">
    <xdr:from>
      <xdr:col>0</xdr:col>
      <xdr:colOff>0</xdr:colOff>
      <xdr:row>335</xdr:row>
      <xdr:rowOff>0</xdr:rowOff>
    </xdr:from>
    <xdr:to>
      <xdr:col>0</xdr:col>
      <xdr:colOff>161925</xdr:colOff>
      <xdr:row>336</xdr:row>
      <xdr:rowOff>66675</xdr:rowOff>
    </xdr:to>
    <xdr:pic>
      <xdr:nvPicPr>
        <xdr:cNvPr id="4" name="Picture 5"/>
        <xdr:cNvPicPr preferRelativeResize="1">
          <a:picLocks noChangeAspect="1"/>
        </xdr:cNvPicPr>
      </xdr:nvPicPr>
      <xdr:blipFill>
        <a:blip r:embed="rId4"/>
        <a:stretch>
          <a:fillRect/>
        </a:stretch>
      </xdr:blipFill>
      <xdr:spPr>
        <a:xfrm>
          <a:off x="0" y="54654450"/>
          <a:ext cx="161925" cy="228600"/>
        </a:xfrm>
        <a:prstGeom prst="rect">
          <a:avLst/>
        </a:prstGeom>
        <a:noFill/>
        <a:ln w="9525" cmpd="sng">
          <a:noFill/>
        </a:ln>
      </xdr:spPr>
    </xdr:pic>
    <xdr:clientData/>
  </xdr:twoCellAnchor>
  <xdr:twoCellAnchor editAs="oneCell">
    <xdr:from>
      <xdr:col>0</xdr:col>
      <xdr:colOff>0</xdr:colOff>
      <xdr:row>336</xdr:row>
      <xdr:rowOff>76200</xdr:rowOff>
    </xdr:from>
    <xdr:to>
      <xdr:col>0</xdr:col>
      <xdr:colOff>161925</xdr:colOff>
      <xdr:row>337</xdr:row>
      <xdr:rowOff>123825</xdr:rowOff>
    </xdr:to>
    <xdr:pic>
      <xdr:nvPicPr>
        <xdr:cNvPr id="5" name="Picture 6"/>
        <xdr:cNvPicPr preferRelativeResize="1">
          <a:picLocks noChangeAspect="1"/>
        </xdr:cNvPicPr>
      </xdr:nvPicPr>
      <xdr:blipFill>
        <a:blip r:embed="rId5"/>
        <a:stretch>
          <a:fillRect/>
        </a:stretch>
      </xdr:blipFill>
      <xdr:spPr>
        <a:xfrm>
          <a:off x="0" y="54892575"/>
          <a:ext cx="161925" cy="209550"/>
        </a:xfrm>
        <a:prstGeom prst="rect">
          <a:avLst/>
        </a:prstGeom>
        <a:noFill/>
        <a:ln w="9525" cmpd="sng">
          <a:noFill/>
        </a:ln>
      </xdr:spPr>
    </xdr:pic>
    <xdr:clientData/>
  </xdr:twoCellAnchor>
  <xdr:twoCellAnchor editAs="oneCell">
    <xdr:from>
      <xdr:col>0</xdr:col>
      <xdr:colOff>0</xdr:colOff>
      <xdr:row>337</xdr:row>
      <xdr:rowOff>133350</xdr:rowOff>
    </xdr:from>
    <xdr:to>
      <xdr:col>0</xdr:col>
      <xdr:colOff>161925</xdr:colOff>
      <xdr:row>339</xdr:row>
      <xdr:rowOff>38100</xdr:rowOff>
    </xdr:to>
    <xdr:pic>
      <xdr:nvPicPr>
        <xdr:cNvPr id="6" name="Picture 7"/>
        <xdr:cNvPicPr preferRelativeResize="1">
          <a:picLocks noChangeAspect="1"/>
        </xdr:cNvPicPr>
      </xdr:nvPicPr>
      <xdr:blipFill>
        <a:blip r:embed="rId4"/>
        <a:stretch>
          <a:fillRect/>
        </a:stretch>
      </xdr:blipFill>
      <xdr:spPr>
        <a:xfrm>
          <a:off x="0" y="55111650"/>
          <a:ext cx="161925" cy="228600"/>
        </a:xfrm>
        <a:prstGeom prst="rect">
          <a:avLst/>
        </a:prstGeom>
        <a:noFill/>
        <a:ln w="9525" cmpd="sng">
          <a:noFill/>
        </a:ln>
      </xdr:spPr>
    </xdr:pic>
    <xdr:clientData/>
  </xdr:twoCellAnchor>
  <xdr:twoCellAnchor editAs="oneCell">
    <xdr:from>
      <xdr:col>0</xdr:col>
      <xdr:colOff>0</xdr:colOff>
      <xdr:row>339</xdr:row>
      <xdr:rowOff>47625</xdr:rowOff>
    </xdr:from>
    <xdr:to>
      <xdr:col>0</xdr:col>
      <xdr:colOff>152400</xdr:colOff>
      <xdr:row>340</xdr:row>
      <xdr:rowOff>85725</xdr:rowOff>
    </xdr:to>
    <xdr:pic>
      <xdr:nvPicPr>
        <xdr:cNvPr id="7" name="Picture 8"/>
        <xdr:cNvPicPr preferRelativeResize="1">
          <a:picLocks noChangeAspect="1"/>
        </xdr:cNvPicPr>
      </xdr:nvPicPr>
      <xdr:blipFill>
        <a:blip r:embed="rId6"/>
        <a:stretch>
          <a:fillRect/>
        </a:stretch>
      </xdr:blipFill>
      <xdr:spPr>
        <a:xfrm>
          <a:off x="0" y="55349775"/>
          <a:ext cx="152400" cy="200025"/>
        </a:xfrm>
        <a:prstGeom prst="rect">
          <a:avLst/>
        </a:prstGeom>
        <a:noFill/>
        <a:ln w="9525" cmpd="sng">
          <a:noFill/>
        </a:ln>
      </xdr:spPr>
    </xdr:pic>
    <xdr:clientData/>
  </xdr:twoCellAnchor>
  <xdr:twoCellAnchor editAs="oneCell">
    <xdr:from>
      <xdr:col>0</xdr:col>
      <xdr:colOff>0</xdr:colOff>
      <xdr:row>340</xdr:row>
      <xdr:rowOff>95250</xdr:rowOff>
    </xdr:from>
    <xdr:to>
      <xdr:col>0</xdr:col>
      <xdr:colOff>152400</xdr:colOff>
      <xdr:row>341</xdr:row>
      <xdr:rowOff>123825</xdr:rowOff>
    </xdr:to>
    <xdr:pic>
      <xdr:nvPicPr>
        <xdr:cNvPr id="8" name="Picture 9"/>
        <xdr:cNvPicPr preferRelativeResize="1">
          <a:picLocks noChangeAspect="1"/>
        </xdr:cNvPicPr>
      </xdr:nvPicPr>
      <xdr:blipFill>
        <a:blip r:embed="rId7"/>
        <a:stretch>
          <a:fillRect/>
        </a:stretch>
      </xdr:blipFill>
      <xdr:spPr>
        <a:xfrm>
          <a:off x="0" y="55559325"/>
          <a:ext cx="152400" cy="190500"/>
        </a:xfrm>
        <a:prstGeom prst="rect">
          <a:avLst/>
        </a:prstGeom>
        <a:noFill/>
        <a:ln w="9525" cmpd="sng">
          <a:noFill/>
        </a:ln>
      </xdr:spPr>
    </xdr:pic>
    <xdr:clientData/>
  </xdr:twoCellAnchor>
  <xdr:twoCellAnchor editAs="oneCell">
    <xdr:from>
      <xdr:col>0</xdr:col>
      <xdr:colOff>0</xdr:colOff>
      <xdr:row>341</xdr:row>
      <xdr:rowOff>133350</xdr:rowOff>
    </xdr:from>
    <xdr:to>
      <xdr:col>0</xdr:col>
      <xdr:colOff>381000</xdr:colOff>
      <xdr:row>344</xdr:row>
      <xdr:rowOff>85725</xdr:rowOff>
    </xdr:to>
    <xdr:pic>
      <xdr:nvPicPr>
        <xdr:cNvPr id="9" name="Picture 10"/>
        <xdr:cNvPicPr preferRelativeResize="1">
          <a:picLocks noChangeAspect="1"/>
        </xdr:cNvPicPr>
      </xdr:nvPicPr>
      <xdr:blipFill>
        <a:blip r:embed="rId8"/>
        <a:stretch>
          <a:fillRect/>
        </a:stretch>
      </xdr:blipFill>
      <xdr:spPr>
        <a:xfrm>
          <a:off x="0" y="55759350"/>
          <a:ext cx="381000" cy="438150"/>
        </a:xfrm>
        <a:prstGeom prst="rect">
          <a:avLst/>
        </a:prstGeom>
        <a:noFill/>
        <a:ln w="9525" cmpd="sng">
          <a:noFill/>
        </a:ln>
      </xdr:spPr>
    </xdr:pic>
    <xdr:clientData/>
  </xdr:twoCellAnchor>
  <xdr:twoCellAnchor editAs="oneCell">
    <xdr:from>
      <xdr:col>6</xdr:col>
      <xdr:colOff>85725</xdr:colOff>
      <xdr:row>330</xdr:row>
      <xdr:rowOff>0</xdr:rowOff>
    </xdr:from>
    <xdr:to>
      <xdr:col>7</xdr:col>
      <xdr:colOff>390525</xdr:colOff>
      <xdr:row>332</xdr:row>
      <xdr:rowOff>142875</xdr:rowOff>
    </xdr:to>
    <xdr:pic>
      <xdr:nvPicPr>
        <xdr:cNvPr id="10" name="Picture 11"/>
        <xdr:cNvPicPr preferRelativeResize="1">
          <a:picLocks noChangeAspect="1"/>
        </xdr:cNvPicPr>
      </xdr:nvPicPr>
      <xdr:blipFill>
        <a:blip r:embed="rId9"/>
        <a:stretch>
          <a:fillRect/>
        </a:stretch>
      </xdr:blipFill>
      <xdr:spPr>
        <a:xfrm>
          <a:off x="6096000" y="53844825"/>
          <a:ext cx="1066800" cy="466725"/>
        </a:xfrm>
        <a:prstGeom prst="rect">
          <a:avLst/>
        </a:prstGeom>
        <a:noFill/>
        <a:ln w="9525" cmpd="sng">
          <a:noFill/>
        </a:ln>
      </xdr:spPr>
    </xdr:pic>
    <xdr:clientData/>
  </xdr:twoCellAnchor>
  <xdr:twoCellAnchor editAs="oneCell">
    <xdr:from>
      <xdr:col>0</xdr:col>
      <xdr:colOff>0</xdr:colOff>
      <xdr:row>345</xdr:row>
      <xdr:rowOff>152400</xdr:rowOff>
    </xdr:from>
    <xdr:to>
      <xdr:col>0</xdr:col>
      <xdr:colOff>1381125</xdr:colOff>
      <xdr:row>349</xdr:row>
      <xdr:rowOff>47625</xdr:rowOff>
    </xdr:to>
    <xdr:pic>
      <xdr:nvPicPr>
        <xdr:cNvPr id="11" name="Picture 12"/>
        <xdr:cNvPicPr preferRelativeResize="1">
          <a:picLocks noChangeAspect="1"/>
        </xdr:cNvPicPr>
      </xdr:nvPicPr>
      <xdr:blipFill>
        <a:blip r:embed="rId10"/>
        <a:stretch>
          <a:fillRect/>
        </a:stretch>
      </xdr:blipFill>
      <xdr:spPr>
        <a:xfrm>
          <a:off x="0" y="56426100"/>
          <a:ext cx="1381125" cy="542925"/>
        </a:xfrm>
        <a:prstGeom prst="rect">
          <a:avLst/>
        </a:prstGeom>
        <a:noFill/>
        <a:ln w="9525" cmpd="sng">
          <a:noFill/>
        </a:ln>
      </xdr:spPr>
    </xdr:pic>
    <xdr:clientData/>
  </xdr:twoCellAnchor>
  <xdr:twoCellAnchor editAs="oneCell">
    <xdr:from>
      <xdr:col>0</xdr:col>
      <xdr:colOff>0</xdr:colOff>
      <xdr:row>348</xdr:row>
      <xdr:rowOff>0</xdr:rowOff>
    </xdr:from>
    <xdr:to>
      <xdr:col>0</xdr:col>
      <xdr:colOff>628650</xdr:colOff>
      <xdr:row>350</xdr:row>
      <xdr:rowOff>142875</xdr:rowOff>
    </xdr:to>
    <xdr:pic>
      <xdr:nvPicPr>
        <xdr:cNvPr id="12" name="Picture 13"/>
        <xdr:cNvPicPr preferRelativeResize="1">
          <a:picLocks noChangeAspect="1"/>
        </xdr:cNvPicPr>
      </xdr:nvPicPr>
      <xdr:blipFill>
        <a:blip r:embed="rId11"/>
        <a:stretch>
          <a:fillRect/>
        </a:stretch>
      </xdr:blipFill>
      <xdr:spPr>
        <a:xfrm>
          <a:off x="0" y="56759475"/>
          <a:ext cx="628650" cy="466725"/>
        </a:xfrm>
        <a:prstGeom prst="rect">
          <a:avLst/>
        </a:prstGeom>
        <a:noFill/>
        <a:ln w="9525" cmpd="sng">
          <a:noFill/>
        </a:ln>
      </xdr:spPr>
    </xdr:pic>
    <xdr:clientData/>
  </xdr:twoCellAnchor>
  <xdr:twoCellAnchor editAs="oneCell">
    <xdr:from>
      <xdr:col>0</xdr:col>
      <xdr:colOff>0</xdr:colOff>
      <xdr:row>351</xdr:row>
      <xdr:rowOff>0</xdr:rowOff>
    </xdr:from>
    <xdr:to>
      <xdr:col>0</xdr:col>
      <xdr:colOff>419100</xdr:colOff>
      <xdr:row>353</xdr:row>
      <xdr:rowOff>142875</xdr:rowOff>
    </xdr:to>
    <xdr:pic>
      <xdr:nvPicPr>
        <xdr:cNvPr id="13" name="Picture 14"/>
        <xdr:cNvPicPr preferRelativeResize="1">
          <a:picLocks noChangeAspect="1"/>
        </xdr:cNvPicPr>
      </xdr:nvPicPr>
      <xdr:blipFill>
        <a:blip r:embed="rId12"/>
        <a:stretch>
          <a:fillRect/>
        </a:stretch>
      </xdr:blipFill>
      <xdr:spPr>
        <a:xfrm>
          <a:off x="0" y="57245250"/>
          <a:ext cx="419100" cy="466725"/>
        </a:xfrm>
        <a:prstGeom prst="rect">
          <a:avLst/>
        </a:prstGeom>
        <a:noFill/>
        <a:ln w="9525" cmpd="sng">
          <a:noFill/>
        </a:ln>
      </xdr:spPr>
    </xdr:pic>
    <xdr:clientData/>
  </xdr:twoCellAnchor>
  <xdr:twoCellAnchor editAs="oneCell">
    <xdr:from>
      <xdr:col>0</xdr:col>
      <xdr:colOff>0</xdr:colOff>
      <xdr:row>364</xdr:row>
      <xdr:rowOff>0</xdr:rowOff>
    </xdr:from>
    <xdr:to>
      <xdr:col>0</xdr:col>
      <xdr:colOff>885825</xdr:colOff>
      <xdr:row>365</xdr:row>
      <xdr:rowOff>104775</xdr:rowOff>
    </xdr:to>
    <xdr:pic>
      <xdr:nvPicPr>
        <xdr:cNvPr id="14" name="Picture 15"/>
        <xdr:cNvPicPr preferRelativeResize="1">
          <a:picLocks noChangeAspect="1"/>
        </xdr:cNvPicPr>
      </xdr:nvPicPr>
      <xdr:blipFill>
        <a:blip r:embed="rId13"/>
        <a:stretch>
          <a:fillRect/>
        </a:stretch>
      </xdr:blipFill>
      <xdr:spPr>
        <a:xfrm>
          <a:off x="0" y="59350275"/>
          <a:ext cx="8858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12</xdr:row>
      <xdr:rowOff>180975</xdr:rowOff>
    </xdr:from>
    <xdr:to>
      <xdr:col>5</xdr:col>
      <xdr:colOff>552450</xdr:colOff>
      <xdr:row>14</xdr:row>
      <xdr:rowOff>76200</xdr:rowOff>
    </xdr:to>
    <xdr:sp>
      <xdr:nvSpPr>
        <xdr:cNvPr id="1" name="TextBox 5"/>
        <xdr:cNvSpPr txBox="1">
          <a:spLocks noChangeArrowheads="1"/>
        </xdr:cNvSpPr>
      </xdr:nvSpPr>
      <xdr:spPr>
        <a:xfrm>
          <a:off x="5705475" y="2133600"/>
          <a:ext cx="1609725"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rPr>
            <a:t>Introducir los datos en las áreas sombreadas en gris</a:t>
          </a:r>
        </a:p>
      </xdr:txBody>
    </xdr:sp>
    <xdr:clientData/>
  </xdr:twoCellAnchor>
  <xdr:twoCellAnchor>
    <xdr:from>
      <xdr:col>3</xdr:col>
      <xdr:colOff>0</xdr:colOff>
      <xdr:row>13</xdr:row>
      <xdr:rowOff>171450</xdr:rowOff>
    </xdr:from>
    <xdr:to>
      <xdr:col>3</xdr:col>
      <xdr:colOff>409575</xdr:colOff>
      <xdr:row>14</xdr:row>
      <xdr:rowOff>85725</xdr:rowOff>
    </xdr:to>
    <xdr:sp>
      <xdr:nvSpPr>
        <xdr:cNvPr id="2" name="Line 6"/>
        <xdr:cNvSpPr>
          <a:spLocks/>
        </xdr:cNvSpPr>
      </xdr:nvSpPr>
      <xdr:spPr>
        <a:xfrm flipH="1">
          <a:off x="5238750" y="2352675"/>
          <a:ext cx="409575" cy="142875"/>
        </a:xfrm>
        <a:prstGeom prst="line">
          <a:avLst/>
        </a:prstGeom>
        <a:noFill/>
        <a:ln w="9525"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0</xdr:rowOff>
    </xdr:from>
    <xdr:to>
      <xdr:col>5</xdr:col>
      <xdr:colOff>638175</xdr:colOff>
      <xdr:row>11</xdr:row>
      <xdr:rowOff>0</xdr:rowOff>
    </xdr:to>
    <xdr:sp>
      <xdr:nvSpPr>
        <xdr:cNvPr id="3" name="TextBox 7"/>
        <xdr:cNvSpPr txBox="1">
          <a:spLocks noChangeArrowheads="1"/>
        </xdr:cNvSpPr>
      </xdr:nvSpPr>
      <xdr:spPr>
        <a:xfrm>
          <a:off x="352425" y="809625"/>
          <a:ext cx="7048500" cy="971550"/>
        </a:xfrm>
        <a:prstGeom prst="rect">
          <a:avLst/>
        </a:prstGeom>
        <a:solidFill>
          <a:srgbClr val="FFFFFF"/>
        </a:solidFill>
        <a:ln w="25400" cmpd="sng">
          <a:solidFill>
            <a:srgbClr val="008000"/>
          </a:solidFill>
          <a:headEnd type="none"/>
          <a:tailEnd type="none"/>
        </a:ln>
      </xdr:spPr>
      <xdr:txBody>
        <a:bodyPr vertOverflow="clip" wrap="square"/>
        <a:p>
          <a:pPr algn="l">
            <a:defRPr/>
          </a:pPr>
          <a:r>
            <a:rPr lang="en-US" cap="none" sz="900" b="0" i="0" u="none" baseline="0"/>
            <a:t>En 2002, se realizó un estudio sobre los usuarios de piscinas de verano del Ayuntamiento de Cartagena, con el objetivo de evaluar su actitud hacia el servicio, concretamente su nivel de satisfacción. La población total  (N) ascendía a 1893 usuarios repartidos en tres piscinas de la siguiente forma: 634 en la piscina 1 (N1), 809 en la piscina 2 (N2), y 450 en la piscina 3 (N3). La satisfacción se midió en una escala Likert de 1 a 5. Se seleccionó de forma aleatoria una muestra de individuos sin atender a ningún criterio prefijado, simplemente que el ratio de respuesta de cada piscina fuera cercano al 10% para asegurar cierta representatividad. De este modo se recogieron 58, 72 y 41 cuestionarios (n1, n2 y n3, respectivamente), es decir, una muestra total (n) de 171 sujetos.  Asimismo, no existían datos anteriores similares que pudieran aportar información acerca de la variabilidad de la población.  </a:t>
          </a:r>
        </a:p>
      </xdr:txBody>
    </xdr:sp>
    <xdr:clientData/>
  </xdr:twoCellAnchor>
  <xdr:twoCellAnchor>
    <xdr:from>
      <xdr:col>0</xdr:col>
      <xdr:colOff>904875</xdr:colOff>
      <xdr:row>1</xdr:row>
      <xdr:rowOff>76200</xdr:rowOff>
    </xdr:from>
    <xdr:to>
      <xdr:col>5</xdr:col>
      <xdr:colOff>276225</xdr:colOff>
      <xdr:row>3</xdr:row>
      <xdr:rowOff>142875</xdr:rowOff>
    </xdr:to>
    <xdr:sp>
      <xdr:nvSpPr>
        <xdr:cNvPr id="4" name="TextBox 8"/>
        <xdr:cNvSpPr txBox="1">
          <a:spLocks noChangeArrowheads="1"/>
        </xdr:cNvSpPr>
      </xdr:nvSpPr>
      <xdr:spPr>
        <a:xfrm>
          <a:off x="904875" y="238125"/>
          <a:ext cx="6134100" cy="3905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Martínez, J. A. y Martínez, L. (2008). Determinación de la máxima varianza para el cálculo del factor de imprecisión sobre la escala de medida , y extensión a diferentes tipos de muestreo. </a:t>
          </a:r>
          <a:r>
            <a:rPr lang="en-US" cap="none" sz="1000" b="1" i="1" u="none" baseline="0">
              <a:latin typeface="Times New Roman"/>
              <a:ea typeface="Times New Roman"/>
              <a:cs typeface="Times New Roman"/>
            </a:rPr>
            <a:t>Psicothema 20 (2), 305-310.</a:t>
          </a:r>
        </a:p>
      </xdr:txBody>
    </xdr:sp>
    <xdr:clientData/>
  </xdr:twoCellAnchor>
  <xdr:twoCellAnchor>
    <xdr:from>
      <xdr:col>0</xdr:col>
      <xdr:colOff>123825</xdr:colOff>
      <xdr:row>95</xdr:row>
      <xdr:rowOff>133350</xdr:rowOff>
    </xdr:from>
    <xdr:to>
      <xdr:col>0</xdr:col>
      <xdr:colOff>2733675</xdr:colOff>
      <xdr:row>97</xdr:row>
      <xdr:rowOff>19050</xdr:rowOff>
    </xdr:to>
    <xdr:sp>
      <xdr:nvSpPr>
        <xdr:cNvPr id="5" name="TextBox 9">
          <a:hlinkClick r:id="rId1"/>
        </xdr:cNvPr>
        <xdr:cNvSpPr txBox="1">
          <a:spLocks noChangeArrowheads="1"/>
        </xdr:cNvSpPr>
      </xdr:nvSpPr>
      <xdr:spPr>
        <a:xfrm>
          <a:off x="123825" y="21059775"/>
          <a:ext cx="2609850" cy="209550"/>
        </a:xfrm>
        <a:prstGeom prst="rect">
          <a:avLst/>
        </a:prstGeom>
        <a:noFill/>
        <a:ln w="12700" cmpd="sng">
          <a:solidFill>
            <a:srgbClr val="969696"/>
          </a:solidFill>
          <a:headEnd type="none"/>
          <a:tailEnd type="none"/>
        </a:ln>
      </xdr:spPr>
      <xdr:txBody>
        <a:bodyPr vertOverflow="clip" wrap="square"/>
        <a:p>
          <a:pPr algn="l">
            <a:defRPr/>
          </a:pPr>
          <a:r>
            <a:rPr lang="en-US" cap="none" sz="1000" b="1" i="1" u="none" baseline="0">
              <a:solidFill>
                <a:srgbClr val="969696"/>
              </a:solidFill>
            </a:rPr>
            <a:t>Enviar comentarios a: josean.martinez@upct.es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H25"/>
  <sheetViews>
    <sheetView workbookViewId="0" topLeftCell="A1">
      <selection activeCell="D18" sqref="D18"/>
    </sheetView>
  </sheetViews>
  <sheetFormatPr defaultColWidth="11.421875" defaultRowHeight="12.75"/>
  <cols>
    <col min="1" max="1" width="35.00390625" style="0" customWidth="1"/>
  </cols>
  <sheetData>
    <row r="2" ht="13.5" thickBot="1"/>
    <row r="3" spans="1:4" ht="13.5" thickBot="1">
      <c r="A3" s="155" t="s">
        <v>332</v>
      </c>
      <c r="B3" s="17"/>
      <c r="C3" s="17"/>
      <c r="D3" s="16"/>
    </row>
    <row r="4" spans="1:4" ht="12.75">
      <c r="A4" s="36" t="s">
        <v>333</v>
      </c>
      <c r="B4" s="37" t="s">
        <v>28</v>
      </c>
      <c r="C4" s="143">
        <f>(C11-C12)/C10</f>
        <v>-0.13178158837266918</v>
      </c>
      <c r="D4" s="16"/>
    </row>
    <row r="5" spans="1:4" ht="12.75">
      <c r="A5" s="99" t="s">
        <v>334</v>
      </c>
      <c r="B5" s="102" t="s">
        <v>71</v>
      </c>
      <c r="C5" s="101">
        <f>C4*(C14*C25*C13)^0.5/((C13+C14))</f>
        <v>-1.6045456920243815</v>
      </c>
      <c r="D5" s="16"/>
    </row>
    <row r="6" spans="1:8" ht="12.75">
      <c r="A6" s="38" t="s">
        <v>77</v>
      </c>
      <c r="B6" s="50" t="s">
        <v>78</v>
      </c>
      <c r="C6" s="39">
        <f>(C11-C12)/C9</f>
        <v>-0.12111035517528496</v>
      </c>
      <c r="D6" s="16"/>
      <c r="F6" s="19">
        <v>4.273288439955109</v>
      </c>
      <c r="G6" s="19">
        <v>0.6193155539362706</v>
      </c>
      <c r="H6" s="160">
        <v>297</v>
      </c>
    </row>
    <row r="7" spans="1:8" ht="12.75">
      <c r="A7" s="99" t="s">
        <v>74</v>
      </c>
      <c r="B7" s="102" t="s">
        <v>75</v>
      </c>
      <c r="C7" s="101">
        <f>C4*(C25/(C13+C14))^0.5</f>
        <v>-0.1316706143838309</v>
      </c>
      <c r="D7" s="16"/>
      <c r="F7" s="19">
        <v>4.36363636363636</v>
      </c>
      <c r="G7" s="19">
        <v>0.7459966866622512</v>
      </c>
      <c r="H7" s="160">
        <v>297</v>
      </c>
    </row>
    <row r="8" spans="1:4" ht="14.25">
      <c r="A8" s="60" t="s">
        <v>64</v>
      </c>
      <c r="B8" s="51" t="s">
        <v>204</v>
      </c>
      <c r="C8" s="166">
        <v>0.6193155539362706</v>
      </c>
      <c r="D8" s="16"/>
    </row>
    <row r="9" spans="1:4" ht="14.25">
      <c r="A9" s="60" t="s">
        <v>65</v>
      </c>
      <c r="B9" s="51" t="s">
        <v>205</v>
      </c>
      <c r="C9" s="166">
        <v>0.7459966866622512</v>
      </c>
      <c r="D9" s="16"/>
    </row>
    <row r="10" spans="1:4" ht="14.25">
      <c r="A10" s="60" t="s">
        <v>66</v>
      </c>
      <c r="B10" s="50" t="s">
        <v>206</v>
      </c>
      <c r="C10" s="64">
        <f>((((C13-1)*(C8^2))+((C14-1)*(C9^2)))/(C13+C14-2))^0.5</f>
        <v>0.6855883647854764</v>
      </c>
      <c r="D10" s="16"/>
    </row>
    <row r="11" spans="1:4" ht="12.75">
      <c r="A11" s="60" t="s">
        <v>29</v>
      </c>
      <c r="B11" s="51" t="s">
        <v>30</v>
      </c>
      <c r="C11" s="166">
        <v>4.273288439955109</v>
      </c>
      <c r="D11" s="16"/>
    </row>
    <row r="12" spans="1:4" ht="12.75">
      <c r="A12" s="60" t="s">
        <v>31</v>
      </c>
      <c r="B12" s="51" t="s">
        <v>32</v>
      </c>
      <c r="C12" s="166">
        <v>4.36363636363636</v>
      </c>
      <c r="D12" s="16"/>
    </row>
    <row r="13" spans="1:4" ht="12.75">
      <c r="A13" s="60" t="s">
        <v>40</v>
      </c>
      <c r="B13" s="51" t="s">
        <v>41</v>
      </c>
      <c r="C13" s="167">
        <v>297</v>
      </c>
      <c r="D13" s="16"/>
    </row>
    <row r="14" spans="1:4" ht="12.75">
      <c r="A14" s="60" t="s">
        <v>42</v>
      </c>
      <c r="B14" s="51" t="s">
        <v>43</v>
      </c>
      <c r="C14" s="167">
        <v>297</v>
      </c>
      <c r="D14" s="16"/>
    </row>
    <row r="15" spans="1:4" ht="12.75">
      <c r="A15" s="60" t="s">
        <v>44</v>
      </c>
      <c r="B15" s="51" t="s">
        <v>2</v>
      </c>
      <c r="C15" s="61">
        <v>436</v>
      </c>
      <c r="D15" s="16"/>
    </row>
    <row r="16" spans="1:4" ht="15.75">
      <c r="A16" s="38" t="s">
        <v>335</v>
      </c>
      <c r="B16" s="147" t="s">
        <v>300</v>
      </c>
      <c r="C16" s="39">
        <f>C19/(C19+C20)</f>
        <v>0.018330555976367218</v>
      </c>
      <c r="D16" s="16" t="s">
        <v>339</v>
      </c>
    </row>
    <row r="17" spans="1:4" ht="14.25">
      <c r="A17" s="38" t="s">
        <v>336</v>
      </c>
      <c r="B17" s="156" t="s">
        <v>337</v>
      </c>
      <c r="C17" s="39">
        <f>((C19-(C22-1)*C23))/(C19+C20)</f>
        <v>0.016672330564165134</v>
      </c>
      <c r="D17" s="16" t="s">
        <v>340</v>
      </c>
    </row>
    <row r="18" spans="1:4" ht="15.75">
      <c r="A18" s="38" t="s">
        <v>338</v>
      </c>
      <c r="B18" s="147" t="s">
        <v>321</v>
      </c>
      <c r="C18" s="39">
        <f>((C19-(C22-1)*C23))/(C19+C20+C23)</f>
        <v>0.01664472985014838</v>
      </c>
      <c r="D18" s="16">
        <f>C16^0.5</f>
        <v>0.1353903836185097</v>
      </c>
    </row>
    <row r="19" spans="1:4" ht="12.75">
      <c r="A19" s="38" t="s">
        <v>316</v>
      </c>
      <c r="B19" s="151" t="s">
        <v>318</v>
      </c>
      <c r="C19" s="145">
        <v>1.21</v>
      </c>
      <c r="D19" s="16"/>
    </row>
    <row r="20" spans="1:4" ht="12.75">
      <c r="A20" s="38" t="s">
        <v>317</v>
      </c>
      <c r="B20" s="151" t="s">
        <v>319</v>
      </c>
      <c r="C20" s="145">
        <v>64.8</v>
      </c>
      <c r="D20" s="16"/>
    </row>
    <row r="21" spans="1:4" ht="14.25">
      <c r="A21" s="38" t="s">
        <v>328</v>
      </c>
      <c r="B21" s="20" t="s">
        <v>329</v>
      </c>
      <c r="C21" s="146">
        <f>C24-C22</f>
        <v>592</v>
      </c>
      <c r="D21" s="16"/>
    </row>
    <row r="22" spans="1:4" ht="12.75">
      <c r="A22" s="38" t="s">
        <v>325</v>
      </c>
      <c r="B22" s="151" t="s">
        <v>326</v>
      </c>
      <c r="C22" s="145">
        <v>2</v>
      </c>
      <c r="D22" s="16"/>
    </row>
    <row r="23" spans="1:4" ht="14.25">
      <c r="A23" s="38" t="s">
        <v>215</v>
      </c>
      <c r="B23" s="25" t="s">
        <v>327</v>
      </c>
      <c r="C23" s="39">
        <f>C20/C21</f>
        <v>0.10945945945945945</v>
      </c>
      <c r="D23" s="16"/>
    </row>
    <row r="24" spans="1:4" ht="12.75">
      <c r="A24" s="38" t="s">
        <v>99</v>
      </c>
      <c r="B24" s="151" t="s">
        <v>2</v>
      </c>
      <c r="C24" s="145">
        <v>594</v>
      </c>
      <c r="D24" s="16"/>
    </row>
    <row r="25" spans="1:4" ht="13.5" thickBot="1">
      <c r="A25" s="105" t="s">
        <v>341</v>
      </c>
      <c r="B25" s="157" t="s">
        <v>342</v>
      </c>
      <c r="C25" s="158">
        <f>C24-1</f>
        <v>593</v>
      </c>
      <c r="D25" s="16" t="s">
        <v>343</v>
      </c>
    </row>
  </sheetData>
  <printOptions/>
  <pageMargins left="0.75" right="0.75" top="1" bottom="1" header="0" footer="0"/>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4:C8"/>
  <sheetViews>
    <sheetView workbookViewId="0" topLeftCell="A1">
      <selection activeCell="D18" sqref="D18"/>
    </sheetView>
  </sheetViews>
  <sheetFormatPr defaultColWidth="11.421875" defaultRowHeight="12.75"/>
  <cols>
    <col min="1" max="1" width="24.00390625" style="0" customWidth="1"/>
    <col min="2" max="2" width="9.7109375" style="224" customWidth="1"/>
    <col min="3" max="3" width="9.28125" style="0" customWidth="1"/>
  </cols>
  <sheetData>
    <row r="4" ht="12.75">
      <c r="A4" s="8" t="s">
        <v>527</v>
      </c>
    </row>
    <row r="5" spans="1:3" ht="12.75">
      <c r="A5" t="s">
        <v>99</v>
      </c>
      <c r="B5" s="224" t="s">
        <v>100</v>
      </c>
      <c r="C5" s="224"/>
    </row>
    <row r="6" spans="1:3" ht="12.75">
      <c r="A6" t="s">
        <v>98</v>
      </c>
      <c r="B6" s="225" t="s">
        <v>2</v>
      </c>
      <c r="C6" s="224"/>
    </row>
    <row r="7" spans="1:3" ht="15.75">
      <c r="A7" t="s">
        <v>525</v>
      </c>
      <c r="B7" s="225" t="s">
        <v>526</v>
      </c>
      <c r="C7" s="224"/>
    </row>
    <row r="8" spans="1:2" ht="14.25">
      <c r="A8" t="s">
        <v>528</v>
      </c>
      <c r="B8" s="224" t="s">
        <v>529</v>
      </c>
    </row>
  </sheetData>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2:D95"/>
  <sheetViews>
    <sheetView showGridLines="0" tabSelected="1" workbookViewId="0" topLeftCell="A19">
      <selection activeCell="F57" sqref="F57"/>
    </sheetView>
  </sheetViews>
  <sheetFormatPr defaultColWidth="11.421875" defaultRowHeight="12.75"/>
  <cols>
    <col min="1" max="1" width="49.7109375" style="230" customWidth="1"/>
    <col min="2" max="2" width="11.421875" style="230" customWidth="1"/>
    <col min="3" max="3" width="17.421875" style="230" customWidth="1"/>
    <col min="4" max="16384" width="11.421875" style="230" customWidth="1"/>
  </cols>
  <sheetData>
    <row r="12" spans="1:3" ht="13.5" thickBot="1">
      <c r="A12" s="229"/>
      <c r="B12" s="229"/>
      <c r="C12" s="229"/>
    </row>
    <row r="13" spans="1:4" ht="18" customHeight="1">
      <c r="A13" s="231" t="s">
        <v>539</v>
      </c>
      <c r="B13" s="232"/>
      <c r="C13" s="233"/>
      <c r="D13" s="234"/>
    </row>
    <row r="14" spans="1:4" ht="18" customHeight="1">
      <c r="A14" s="235" t="s">
        <v>98</v>
      </c>
      <c r="B14" s="236" t="s">
        <v>2</v>
      </c>
      <c r="C14" s="227">
        <v>1893</v>
      </c>
      <c r="D14" s="234"/>
    </row>
    <row r="15" spans="1:4" ht="18" customHeight="1">
      <c r="A15" s="235" t="s">
        <v>99</v>
      </c>
      <c r="B15" s="236" t="s">
        <v>100</v>
      </c>
      <c r="C15" s="227">
        <v>171</v>
      </c>
      <c r="D15" s="234"/>
    </row>
    <row r="16" spans="1:4" ht="18" customHeight="1">
      <c r="A16" s="235" t="s">
        <v>533</v>
      </c>
      <c r="B16" s="236" t="s">
        <v>534</v>
      </c>
      <c r="C16" s="227">
        <v>4</v>
      </c>
      <c r="D16" s="234"/>
    </row>
    <row r="17" spans="1:4" ht="18" customHeight="1">
      <c r="A17" s="235" t="s">
        <v>61</v>
      </c>
      <c r="B17" s="236" t="s">
        <v>61</v>
      </c>
      <c r="C17" s="228">
        <v>0.05</v>
      </c>
      <c r="D17" s="234"/>
    </row>
    <row r="18" spans="1:4" ht="18" customHeight="1">
      <c r="A18" s="235" t="s">
        <v>59</v>
      </c>
      <c r="B18" s="237" t="s">
        <v>83</v>
      </c>
      <c r="C18" s="238">
        <f>1-C17</f>
        <v>0.95</v>
      </c>
      <c r="D18" s="234"/>
    </row>
    <row r="19" spans="1:4" ht="18" customHeight="1">
      <c r="A19" s="239" t="s">
        <v>535</v>
      </c>
      <c r="B19" s="237" t="s">
        <v>531</v>
      </c>
      <c r="C19" s="240">
        <f>NORMSINV(1-(C17/2))</f>
        <v>1.959963984540054</v>
      </c>
      <c r="D19" s="234"/>
    </row>
    <row r="20" spans="1:4" ht="18" customHeight="1">
      <c r="A20" s="235" t="s">
        <v>530</v>
      </c>
      <c r="B20" s="241" t="s">
        <v>532</v>
      </c>
      <c r="C20" s="242">
        <f>((1/C19)*(C16/2))^2</f>
        <v>1.0412710865080228</v>
      </c>
      <c r="D20" s="234"/>
    </row>
    <row r="21" spans="1:4" ht="18" customHeight="1">
      <c r="A21" s="243" t="s">
        <v>260</v>
      </c>
      <c r="B21" s="244" t="s">
        <v>538</v>
      </c>
      <c r="C21" s="245">
        <f>(C19*(C20^0.5)*((C14-C15)/C15)^0.5)/(C14-1)^0.5</f>
        <v>0.14591097113681967</v>
      </c>
      <c r="D21" s="234"/>
    </row>
    <row r="22" spans="1:4" ht="18" customHeight="1" thickBot="1">
      <c r="A22" s="246" t="s">
        <v>536</v>
      </c>
      <c r="B22" s="247" t="s">
        <v>537</v>
      </c>
      <c r="C22" s="248">
        <f>C21/C16</f>
        <v>0.03647774278420492</v>
      </c>
      <c r="D22" s="234"/>
    </row>
    <row r="23" spans="1:4" ht="18" customHeight="1" thickBot="1">
      <c r="A23" s="249"/>
      <c r="B23" s="250"/>
      <c r="C23" s="251"/>
      <c r="D23" s="234"/>
    </row>
    <row r="24" spans="1:4" ht="18" customHeight="1">
      <c r="A24" s="252" t="s">
        <v>540</v>
      </c>
      <c r="B24" s="253"/>
      <c r="C24" s="254"/>
      <c r="D24" s="234"/>
    </row>
    <row r="25" spans="1:4" ht="18" customHeight="1">
      <c r="A25" s="235" t="s">
        <v>98</v>
      </c>
      <c r="B25" s="236" t="s">
        <v>2</v>
      </c>
      <c r="C25" s="227">
        <v>1893</v>
      </c>
      <c r="D25" s="234"/>
    </row>
    <row r="26" spans="1:4" ht="18" customHeight="1">
      <c r="A26" s="235" t="s">
        <v>99</v>
      </c>
      <c r="B26" s="236" t="s">
        <v>100</v>
      </c>
      <c r="C26" s="227">
        <v>171</v>
      </c>
      <c r="D26" s="234"/>
    </row>
    <row r="27" spans="1:4" ht="18" customHeight="1">
      <c r="A27" s="235" t="s">
        <v>533</v>
      </c>
      <c r="B27" s="236" t="s">
        <v>534</v>
      </c>
      <c r="C27" s="227">
        <v>4</v>
      </c>
      <c r="D27" s="234"/>
    </row>
    <row r="28" spans="1:4" ht="18" customHeight="1">
      <c r="A28" s="235" t="s">
        <v>61</v>
      </c>
      <c r="B28" s="236" t="s">
        <v>61</v>
      </c>
      <c r="C28" s="228">
        <v>0.05</v>
      </c>
      <c r="D28" s="234"/>
    </row>
    <row r="29" spans="1:4" ht="18" customHeight="1">
      <c r="A29" s="235" t="s">
        <v>106</v>
      </c>
      <c r="B29" s="236" t="s">
        <v>542</v>
      </c>
      <c r="C29" s="228">
        <v>4.708</v>
      </c>
      <c r="D29" s="234"/>
    </row>
    <row r="30" spans="1:4" ht="18" customHeight="1">
      <c r="A30" s="235" t="s">
        <v>101</v>
      </c>
      <c r="B30" s="236" t="s">
        <v>541</v>
      </c>
      <c r="C30" s="228">
        <v>0.339</v>
      </c>
      <c r="D30" s="234"/>
    </row>
    <row r="31" spans="1:4" ht="18" customHeight="1">
      <c r="A31" s="235" t="s">
        <v>96</v>
      </c>
      <c r="B31" s="237" t="s">
        <v>97</v>
      </c>
      <c r="C31" s="240">
        <f>((C25-C26)/C25)*C30/C26</f>
        <v>0.0018033753162621294</v>
      </c>
      <c r="D31" s="234"/>
    </row>
    <row r="32" spans="1:4" ht="18" customHeight="1">
      <c r="A32" s="235" t="s">
        <v>543</v>
      </c>
      <c r="B32" s="237" t="s">
        <v>544</v>
      </c>
      <c r="C32" s="240">
        <f>C31^0.5</f>
        <v>0.042466166724371646</v>
      </c>
      <c r="D32" s="234"/>
    </row>
    <row r="33" spans="1:4" ht="18" customHeight="1">
      <c r="A33" s="235" t="s">
        <v>59</v>
      </c>
      <c r="B33" s="237" t="s">
        <v>83</v>
      </c>
      <c r="C33" s="238">
        <f>1-C28</f>
        <v>0.95</v>
      </c>
      <c r="D33" s="234"/>
    </row>
    <row r="34" spans="1:4" ht="18" customHeight="1">
      <c r="A34" s="239" t="s">
        <v>535</v>
      </c>
      <c r="B34" s="237" t="s">
        <v>531</v>
      </c>
      <c r="C34" s="240">
        <f>NORMSINV(1-(C28/2))</f>
        <v>1.959963984540054</v>
      </c>
      <c r="D34" s="234"/>
    </row>
    <row r="35" spans="1:4" ht="18" customHeight="1">
      <c r="A35" s="235" t="s">
        <v>107</v>
      </c>
      <c r="B35" s="237" t="s">
        <v>545</v>
      </c>
      <c r="C35" s="240">
        <f>C29-C39</f>
        <v>4.624767842658758</v>
      </c>
      <c r="D35" s="234"/>
    </row>
    <row r="36" spans="1:4" ht="18" customHeight="1">
      <c r="A36" s="235" t="s">
        <v>109</v>
      </c>
      <c r="B36" s="237" t="s">
        <v>546</v>
      </c>
      <c r="C36" s="240">
        <f>C29+C39</f>
        <v>4.791232157341242</v>
      </c>
      <c r="D36" s="234"/>
    </row>
    <row r="37" spans="1:4" ht="18" customHeight="1">
      <c r="A37" s="235" t="s">
        <v>229</v>
      </c>
      <c r="B37" s="255" t="s">
        <v>230</v>
      </c>
      <c r="C37" s="240">
        <f>C36-C35</f>
        <v>0.16646431468248402</v>
      </c>
      <c r="D37" s="234"/>
    </row>
    <row r="38" spans="1:4" ht="18" customHeight="1">
      <c r="A38" s="243" t="s">
        <v>547</v>
      </c>
      <c r="B38" s="244" t="s">
        <v>548</v>
      </c>
      <c r="C38" s="256">
        <f>C39/C29</f>
        <v>0.017678877939940888</v>
      </c>
      <c r="D38" s="234"/>
    </row>
    <row r="39" spans="1:4" ht="18" customHeight="1">
      <c r="A39" s="243" t="s">
        <v>260</v>
      </c>
      <c r="B39" s="244" t="s">
        <v>538</v>
      </c>
      <c r="C39" s="245">
        <f>C34*C32</f>
        <v>0.0832321573412417</v>
      </c>
      <c r="D39" s="234"/>
    </row>
    <row r="40" spans="1:4" ht="18" customHeight="1" thickBot="1">
      <c r="A40" s="246" t="s">
        <v>536</v>
      </c>
      <c r="B40" s="247" t="s">
        <v>537</v>
      </c>
      <c r="C40" s="248">
        <f>C39/C27</f>
        <v>0.020808039335310426</v>
      </c>
      <c r="D40" s="234"/>
    </row>
    <row r="41" spans="1:4" ht="18" customHeight="1" thickBot="1">
      <c r="A41" s="257"/>
      <c r="B41" s="258"/>
      <c r="C41" s="259"/>
      <c r="D41" s="234"/>
    </row>
    <row r="42" spans="1:4" ht="18" customHeight="1">
      <c r="A42" s="260" t="s">
        <v>549</v>
      </c>
      <c r="B42" s="261"/>
      <c r="C42" s="262"/>
      <c r="D42" s="234"/>
    </row>
    <row r="43" spans="1:4" ht="18" customHeight="1">
      <c r="A43" s="235" t="s">
        <v>98</v>
      </c>
      <c r="B43" s="236" t="s">
        <v>2</v>
      </c>
      <c r="C43" s="227">
        <v>1893</v>
      </c>
      <c r="D43" s="234"/>
    </row>
    <row r="44" spans="1:4" ht="18" customHeight="1">
      <c r="A44" s="263" t="s">
        <v>536</v>
      </c>
      <c r="B44" s="264" t="s">
        <v>537</v>
      </c>
      <c r="C44" s="273">
        <v>0.02081</v>
      </c>
      <c r="D44" s="234"/>
    </row>
    <row r="45" spans="1:4" ht="18" customHeight="1">
      <c r="A45" s="235" t="s">
        <v>533</v>
      </c>
      <c r="B45" s="236" t="s">
        <v>534</v>
      </c>
      <c r="C45" s="228">
        <v>4</v>
      </c>
      <c r="D45" s="234"/>
    </row>
    <row r="46" spans="1:4" ht="18" customHeight="1">
      <c r="A46" s="235" t="s">
        <v>61</v>
      </c>
      <c r="B46" s="236" t="s">
        <v>61</v>
      </c>
      <c r="C46" s="228">
        <v>0.05</v>
      </c>
      <c r="D46" s="234"/>
    </row>
    <row r="47" spans="1:4" ht="18" customHeight="1">
      <c r="A47" s="235" t="s">
        <v>59</v>
      </c>
      <c r="B47" s="237" t="s">
        <v>83</v>
      </c>
      <c r="C47" s="238">
        <f>1-C46</f>
        <v>0.95</v>
      </c>
      <c r="D47" s="234"/>
    </row>
    <row r="48" spans="1:4" ht="18" customHeight="1">
      <c r="A48" s="235" t="s">
        <v>535</v>
      </c>
      <c r="B48" s="237" t="s">
        <v>531</v>
      </c>
      <c r="C48" s="240">
        <f>NORMSINV(1-(C46/2))</f>
        <v>1.959963984540054</v>
      </c>
      <c r="D48" s="234"/>
    </row>
    <row r="49" spans="1:4" ht="18" customHeight="1">
      <c r="A49" s="235" t="s">
        <v>530</v>
      </c>
      <c r="B49" s="241" t="s">
        <v>532</v>
      </c>
      <c r="C49" s="242">
        <f>((1/C48)*(C45/2))^2</f>
        <v>1.0412710865080228</v>
      </c>
      <c r="D49" s="234"/>
    </row>
    <row r="50" spans="1:4" ht="18" customHeight="1">
      <c r="A50" s="235" t="s">
        <v>260</v>
      </c>
      <c r="B50" s="265" t="s">
        <v>619</v>
      </c>
      <c r="C50" s="242">
        <f>C44*C45</f>
        <v>0.08324</v>
      </c>
      <c r="D50" s="234"/>
    </row>
    <row r="51" spans="1:4" ht="18" customHeight="1" thickBot="1">
      <c r="A51" s="266" t="s">
        <v>99</v>
      </c>
      <c r="B51" s="267" t="s">
        <v>100</v>
      </c>
      <c r="C51" s="268">
        <f>((C48^2)*C43*C49)/(((C48^2)*C49)+((C43-1)*C50^2))</f>
        <v>442.5618160609717</v>
      </c>
      <c r="D51" s="234"/>
    </row>
    <row r="52" spans="1:4" ht="18" customHeight="1" thickBot="1">
      <c r="A52" s="269"/>
      <c r="B52" s="258"/>
      <c r="C52" s="270"/>
      <c r="D52" s="234"/>
    </row>
    <row r="53" spans="1:4" ht="18" customHeight="1">
      <c r="A53" s="274" t="s">
        <v>550</v>
      </c>
      <c r="B53" s="275"/>
      <c r="C53" s="276"/>
      <c r="D53" s="234"/>
    </row>
    <row r="54" spans="1:4" ht="18" customHeight="1">
      <c r="A54" s="235" t="s">
        <v>98</v>
      </c>
      <c r="B54" s="236" t="s">
        <v>2</v>
      </c>
      <c r="C54" s="227">
        <v>1893</v>
      </c>
      <c r="D54" s="234"/>
    </row>
    <row r="55" spans="1:4" ht="18" customHeight="1">
      <c r="A55" s="235" t="s">
        <v>99</v>
      </c>
      <c r="B55" s="236" t="s">
        <v>100</v>
      </c>
      <c r="C55" s="227">
        <v>171</v>
      </c>
      <c r="D55" s="234"/>
    </row>
    <row r="56" spans="1:4" ht="18" customHeight="1">
      <c r="A56" s="235" t="s">
        <v>551</v>
      </c>
      <c r="B56" s="236" t="s">
        <v>557</v>
      </c>
      <c r="C56" s="227">
        <v>634</v>
      </c>
      <c r="D56" s="234"/>
    </row>
    <row r="57" spans="1:4" ht="18" customHeight="1">
      <c r="A57" s="235" t="s">
        <v>552</v>
      </c>
      <c r="B57" s="236" t="s">
        <v>558</v>
      </c>
      <c r="C57" s="227">
        <v>809</v>
      </c>
      <c r="D57" s="234"/>
    </row>
    <row r="58" spans="1:4" ht="18" customHeight="1">
      <c r="A58" s="235" t="s">
        <v>553</v>
      </c>
      <c r="B58" s="236" t="s">
        <v>559</v>
      </c>
      <c r="C58" s="227">
        <v>450</v>
      </c>
      <c r="D58" s="234"/>
    </row>
    <row r="59" spans="1:4" ht="18" customHeight="1">
      <c r="A59" s="235" t="s">
        <v>533</v>
      </c>
      <c r="B59" s="236" t="s">
        <v>534</v>
      </c>
      <c r="C59" s="227">
        <v>4</v>
      </c>
      <c r="D59" s="234"/>
    </row>
    <row r="60" spans="1:4" ht="18" customHeight="1">
      <c r="A60" s="235" t="s">
        <v>554</v>
      </c>
      <c r="B60" s="236" t="s">
        <v>560</v>
      </c>
      <c r="C60" s="227">
        <v>58</v>
      </c>
      <c r="D60" s="234"/>
    </row>
    <row r="61" spans="1:4" ht="18" customHeight="1">
      <c r="A61" s="235" t="s">
        <v>555</v>
      </c>
      <c r="B61" s="236" t="s">
        <v>561</v>
      </c>
      <c r="C61" s="227">
        <v>72</v>
      </c>
      <c r="D61" s="234"/>
    </row>
    <row r="62" spans="1:4" ht="18" customHeight="1">
      <c r="A62" s="235" t="s">
        <v>556</v>
      </c>
      <c r="B62" s="236" t="s">
        <v>562</v>
      </c>
      <c r="C62" s="227">
        <v>41</v>
      </c>
      <c r="D62" s="234"/>
    </row>
    <row r="63" spans="1:4" ht="18" customHeight="1">
      <c r="A63" s="235" t="s">
        <v>82</v>
      </c>
      <c r="B63" s="236" t="s">
        <v>564</v>
      </c>
      <c r="C63" s="228">
        <v>4.879</v>
      </c>
      <c r="D63" s="234"/>
    </row>
    <row r="64" spans="1:4" ht="18" customHeight="1">
      <c r="A64" s="235" t="s">
        <v>124</v>
      </c>
      <c r="B64" s="236" t="s">
        <v>565</v>
      </c>
      <c r="C64" s="228">
        <v>4.615</v>
      </c>
      <c r="D64" s="234"/>
    </row>
    <row r="65" spans="1:4" ht="18" customHeight="1">
      <c r="A65" s="235" t="s">
        <v>563</v>
      </c>
      <c r="B65" s="236" t="s">
        <v>566</v>
      </c>
      <c r="C65" s="228">
        <v>4.619</v>
      </c>
      <c r="D65" s="234"/>
    </row>
    <row r="66" spans="1:4" ht="18" customHeight="1">
      <c r="A66" s="235" t="s">
        <v>118</v>
      </c>
      <c r="B66" s="264" t="s">
        <v>568</v>
      </c>
      <c r="C66" s="228">
        <v>0.10798548094373728</v>
      </c>
      <c r="D66" s="234"/>
    </row>
    <row r="67" spans="1:4" ht="18" customHeight="1">
      <c r="A67" s="235" t="s">
        <v>119</v>
      </c>
      <c r="B67" s="264" t="s">
        <v>569</v>
      </c>
      <c r="C67" s="228">
        <v>0.5247484909456749</v>
      </c>
      <c r="D67" s="234"/>
    </row>
    <row r="68" spans="1:4" ht="18" customHeight="1">
      <c r="A68" s="235" t="s">
        <v>567</v>
      </c>
      <c r="B68" s="264" t="s">
        <v>570</v>
      </c>
      <c r="C68" s="228">
        <v>0.29554655870445484</v>
      </c>
      <c r="D68" s="234"/>
    </row>
    <row r="69" spans="1:4" ht="18" customHeight="1">
      <c r="A69" s="235" t="s">
        <v>61</v>
      </c>
      <c r="B69" s="236" t="s">
        <v>61</v>
      </c>
      <c r="C69" s="228">
        <v>0.05</v>
      </c>
      <c r="D69" s="234"/>
    </row>
    <row r="70" spans="1:4" ht="18" customHeight="1">
      <c r="A70" s="235" t="s">
        <v>571</v>
      </c>
      <c r="B70" s="237" t="s">
        <v>574</v>
      </c>
      <c r="C70" s="240">
        <f>((C56-C60)/C56)*C66/C60</f>
        <v>0.0016914945345260707</v>
      </c>
      <c r="D70" s="234"/>
    </row>
    <row r="71" spans="1:4" ht="18" customHeight="1">
      <c r="A71" s="235" t="s">
        <v>572</v>
      </c>
      <c r="B71" s="237" t="s">
        <v>575</v>
      </c>
      <c r="C71" s="240">
        <f>((C57-C61)/C57)*C67/C61</f>
        <v>0.00663953505402696</v>
      </c>
      <c r="D71" s="234"/>
    </row>
    <row r="72" spans="1:4" ht="18" customHeight="1">
      <c r="A72" s="235" t="s">
        <v>573</v>
      </c>
      <c r="B72" s="237" t="s">
        <v>576</v>
      </c>
      <c r="C72" s="240">
        <f>((C58-C62)/C58)*C68/C62</f>
        <v>0.006551682520873823</v>
      </c>
      <c r="D72" s="234"/>
    </row>
    <row r="73" spans="1:4" ht="18" customHeight="1">
      <c r="A73" s="235" t="s">
        <v>577</v>
      </c>
      <c r="B73" s="237" t="s">
        <v>580</v>
      </c>
      <c r="C73" s="240">
        <f>C70^0.5</f>
        <v>0.04112778300037665</v>
      </c>
      <c r="D73" s="234"/>
    </row>
    <row r="74" spans="1:4" ht="18" customHeight="1">
      <c r="A74" s="235" t="s">
        <v>578</v>
      </c>
      <c r="B74" s="237" t="s">
        <v>581</v>
      </c>
      <c r="C74" s="240">
        <f>C71^0.5</f>
        <v>0.08148334218738797</v>
      </c>
      <c r="D74" s="234"/>
    </row>
    <row r="75" spans="1:4" ht="18" customHeight="1">
      <c r="A75" s="235" t="s">
        <v>579</v>
      </c>
      <c r="B75" s="237" t="s">
        <v>582</v>
      </c>
      <c r="C75" s="240">
        <f>C72^0.5</f>
        <v>0.08094246426242423</v>
      </c>
      <c r="D75" s="234"/>
    </row>
    <row r="76" spans="1:4" ht="18" customHeight="1">
      <c r="A76" s="235" t="s">
        <v>59</v>
      </c>
      <c r="B76" s="237" t="s">
        <v>83</v>
      </c>
      <c r="C76" s="238">
        <f>1-C69</f>
        <v>0.95</v>
      </c>
      <c r="D76" s="234"/>
    </row>
    <row r="77" spans="1:4" ht="18" customHeight="1">
      <c r="A77" s="239" t="s">
        <v>535</v>
      </c>
      <c r="B77" s="237" t="s">
        <v>531</v>
      </c>
      <c r="C77" s="240">
        <f>NORMSINV(1-(C69/2))</f>
        <v>1.959963984540054</v>
      </c>
      <c r="D77" s="234"/>
    </row>
    <row r="78" spans="1:4" ht="18" customHeight="1">
      <c r="A78" s="235" t="s">
        <v>583</v>
      </c>
      <c r="B78" s="237" t="s">
        <v>592</v>
      </c>
      <c r="C78" s="240">
        <f>C63-C90</f>
        <v>4.798391026555283</v>
      </c>
      <c r="D78" s="234"/>
    </row>
    <row r="79" spans="1:4" ht="18" customHeight="1">
      <c r="A79" s="235" t="s">
        <v>584</v>
      </c>
      <c r="B79" s="237" t="s">
        <v>593</v>
      </c>
      <c r="C79" s="240">
        <f>C63+C90</f>
        <v>4.959608973444716</v>
      </c>
      <c r="D79" s="234"/>
    </row>
    <row r="80" spans="1:4" ht="18" customHeight="1">
      <c r="A80" s="235" t="s">
        <v>585</v>
      </c>
      <c r="B80" s="255" t="s">
        <v>594</v>
      </c>
      <c r="C80" s="240">
        <f>C79-C78</f>
        <v>0.16121794688943325</v>
      </c>
      <c r="D80" s="234"/>
    </row>
    <row r="81" spans="1:4" ht="18" customHeight="1">
      <c r="A81" s="235" t="s">
        <v>586</v>
      </c>
      <c r="B81" s="237" t="s">
        <v>595</v>
      </c>
      <c r="C81" s="240">
        <f>C64-C91</f>
        <v>4.455295583972767</v>
      </c>
      <c r="D81" s="234"/>
    </row>
    <row r="82" spans="1:4" ht="18" customHeight="1">
      <c r="A82" s="235" t="s">
        <v>587</v>
      </c>
      <c r="B82" s="237" t="s">
        <v>596</v>
      </c>
      <c r="C82" s="240">
        <f>C64+C91</f>
        <v>4.774704416027234</v>
      </c>
      <c r="D82" s="234"/>
    </row>
    <row r="83" spans="1:4" ht="18" customHeight="1">
      <c r="A83" s="235" t="s">
        <v>588</v>
      </c>
      <c r="B83" s="255" t="s">
        <v>597</v>
      </c>
      <c r="C83" s="240">
        <f>C82-C81</f>
        <v>0.31940883205446724</v>
      </c>
      <c r="D83" s="234"/>
    </row>
    <row r="84" spans="1:4" ht="18" customHeight="1">
      <c r="A84" s="235" t="s">
        <v>589</v>
      </c>
      <c r="B84" s="237" t="s">
        <v>598</v>
      </c>
      <c r="C84" s="240">
        <f>C65-C92</f>
        <v>4.460355685225728</v>
      </c>
      <c r="D84" s="234"/>
    </row>
    <row r="85" spans="1:4" ht="18" customHeight="1">
      <c r="A85" s="235" t="s">
        <v>590</v>
      </c>
      <c r="B85" s="237" t="s">
        <v>599</v>
      </c>
      <c r="C85" s="240">
        <f>C65+C92</f>
        <v>4.777644314774272</v>
      </c>
      <c r="D85" s="234"/>
    </row>
    <row r="86" spans="1:4" ht="18" customHeight="1">
      <c r="A86" s="235" t="s">
        <v>591</v>
      </c>
      <c r="B86" s="255" t="s">
        <v>600</v>
      </c>
      <c r="C86" s="240">
        <f>C85-C84</f>
        <v>0.3172886295485444</v>
      </c>
      <c r="D86" s="234"/>
    </row>
    <row r="87" spans="1:4" ht="18" customHeight="1">
      <c r="A87" s="243" t="s">
        <v>601</v>
      </c>
      <c r="B87" s="244" t="s">
        <v>602</v>
      </c>
      <c r="C87" s="256">
        <f>C90/C63</f>
        <v>0.016521617840688035</v>
      </c>
      <c r="D87" s="234"/>
    </row>
    <row r="88" spans="1:4" ht="18" customHeight="1">
      <c r="A88" s="243" t="s">
        <v>603</v>
      </c>
      <c r="B88" s="244" t="s">
        <v>604</v>
      </c>
      <c r="C88" s="256">
        <f>C91/C64</f>
        <v>0.034605507264839346</v>
      </c>
      <c r="D88" s="234"/>
    </row>
    <row r="89" spans="1:4" ht="18" customHeight="1">
      <c r="A89" s="243" t="s">
        <v>605</v>
      </c>
      <c r="B89" s="244" t="s">
        <v>606</v>
      </c>
      <c r="C89" s="256">
        <f>C92/C65</f>
        <v>0.034346030477218424</v>
      </c>
      <c r="D89" s="234"/>
    </row>
    <row r="90" spans="1:4" ht="18" customHeight="1">
      <c r="A90" s="243" t="s">
        <v>607</v>
      </c>
      <c r="B90" s="244" t="s">
        <v>608</v>
      </c>
      <c r="C90" s="245">
        <f>C77*C73</f>
        <v>0.08060897344471692</v>
      </c>
      <c r="D90" s="234"/>
    </row>
    <row r="91" spans="1:4" ht="18" customHeight="1">
      <c r="A91" s="243" t="s">
        <v>609</v>
      </c>
      <c r="B91" s="244" t="s">
        <v>610</v>
      </c>
      <c r="C91" s="245">
        <f>C74*C77</f>
        <v>0.1597044160272336</v>
      </c>
      <c r="D91" s="234"/>
    </row>
    <row r="92" spans="1:4" ht="18" customHeight="1">
      <c r="A92" s="243" t="s">
        <v>611</v>
      </c>
      <c r="B92" s="244" t="s">
        <v>612</v>
      </c>
      <c r="C92" s="245">
        <f>C77*C75</f>
        <v>0.1586443147742719</v>
      </c>
      <c r="D92" s="234"/>
    </row>
    <row r="93" spans="1:4" ht="18" customHeight="1">
      <c r="A93" s="271" t="s">
        <v>613</v>
      </c>
      <c r="B93" s="258" t="s">
        <v>615</v>
      </c>
      <c r="C93" s="272">
        <f>C90/C59</f>
        <v>0.02015224336117923</v>
      </c>
      <c r="D93" s="234"/>
    </row>
    <row r="94" spans="1:4" ht="18" customHeight="1">
      <c r="A94" s="271" t="s">
        <v>616</v>
      </c>
      <c r="B94" s="258" t="s">
        <v>614</v>
      </c>
      <c r="C94" s="272">
        <f>C91/C59</f>
        <v>0.0399261040068084</v>
      </c>
      <c r="D94" s="234"/>
    </row>
    <row r="95" spans="1:4" ht="18" customHeight="1" thickBot="1">
      <c r="A95" s="246" t="s">
        <v>617</v>
      </c>
      <c r="B95" s="247" t="s">
        <v>618</v>
      </c>
      <c r="C95" s="248">
        <f>C92/C59</f>
        <v>0.039661078693567976</v>
      </c>
      <c r="D95" s="234"/>
    </row>
  </sheetData>
  <sheetProtection password="8877" sheet="1" objects="1" scenarios="1"/>
  <mergeCells count="1">
    <mergeCell ref="A53:C53"/>
  </mergeCells>
  <printOptions/>
  <pageMargins left="0.75" right="0.75" top="1" bottom="1" header="0" footer="0"/>
  <pageSetup horizontalDpi="600" verticalDpi="600" orientation="portrait" paperSize="9" r:id="rId4"/>
  <drawing r:id="rId3"/>
  <legacyDrawing r:id="rId2"/>
  <oleObjects>
    <oleObject progId="Equation.DSMT4" shapeId="2411462" r:id="rId1"/>
  </oleObjects>
</worksheet>
</file>

<file path=xl/worksheets/sheet2.xml><?xml version="1.0" encoding="utf-8"?>
<worksheet xmlns="http://schemas.openxmlformats.org/spreadsheetml/2006/main" xmlns:r="http://schemas.openxmlformats.org/officeDocument/2006/relationships">
  <dimension ref="A4:U24"/>
  <sheetViews>
    <sheetView zoomScale="75" zoomScaleNormal="75" workbookViewId="0" topLeftCell="A1">
      <selection activeCell="E35" sqref="E35"/>
    </sheetView>
  </sheetViews>
  <sheetFormatPr defaultColWidth="11.421875" defaultRowHeight="12.75"/>
  <cols>
    <col min="1" max="1" width="20.421875" style="10" customWidth="1"/>
    <col min="2" max="2" width="10.7109375" style="10" customWidth="1"/>
    <col min="3" max="3" width="10.7109375" style="11" customWidth="1"/>
    <col min="4" max="5" width="10.7109375" style="10" customWidth="1"/>
    <col min="6" max="6" width="10.7109375" style="11" customWidth="1"/>
    <col min="7" max="8" width="10.7109375" style="10" customWidth="1"/>
    <col min="9" max="9" width="10.7109375" style="11" customWidth="1"/>
    <col min="10" max="11" width="10.7109375" style="10" customWidth="1"/>
    <col min="12" max="12" width="10.7109375" style="11" customWidth="1"/>
    <col min="13" max="14" width="10.7109375" style="10" customWidth="1"/>
    <col min="15" max="15" width="10.7109375" style="11" customWidth="1"/>
    <col min="16" max="16384" width="10.7109375" style="10" customWidth="1"/>
  </cols>
  <sheetData>
    <row r="1" ht="12.75"/>
    <row r="2" ht="12.75"/>
    <row r="3" ht="12.75"/>
    <row r="4" ht="12.75">
      <c r="A4" s="9" t="s">
        <v>21</v>
      </c>
    </row>
    <row r="5" spans="2:16" s="13" customFormat="1" ht="12.75">
      <c r="B5" s="13">
        <v>2002</v>
      </c>
      <c r="C5" s="14">
        <v>2003</v>
      </c>
      <c r="D5" s="15">
        <v>2005</v>
      </c>
      <c r="E5" s="13">
        <v>2002</v>
      </c>
      <c r="F5" s="14">
        <v>2003</v>
      </c>
      <c r="G5" s="15">
        <v>2005</v>
      </c>
      <c r="H5" s="13">
        <v>2002</v>
      </c>
      <c r="I5" s="14">
        <v>2003</v>
      </c>
      <c r="J5" s="15">
        <v>2005</v>
      </c>
      <c r="K5" s="13">
        <v>2002</v>
      </c>
      <c r="L5" s="14">
        <v>2003</v>
      </c>
      <c r="M5" s="15">
        <v>2005</v>
      </c>
      <c r="N5" s="13">
        <v>2002</v>
      </c>
      <c r="O5" s="14">
        <v>2003</v>
      </c>
      <c r="P5" s="15">
        <v>2005</v>
      </c>
    </row>
    <row r="6" spans="1:20" ht="12.75">
      <c r="A6" s="10" t="s">
        <v>1</v>
      </c>
      <c r="B6" s="10" t="s">
        <v>20</v>
      </c>
      <c r="E6" s="10" t="s">
        <v>19</v>
      </c>
      <c r="G6" s="12"/>
      <c r="H6" s="10" t="s">
        <v>3</v>
      </c>
      <c r="J6" s="12"/>
      <c r="M6" s="12"/>
      <c r="N6" s="10" t="s">
        <v>4</v>
      </c>
      <c r="P6" s="12"/>
      <c r="R6" s="10" t="s">
        <v>5</v>
      </c>
      <c r="T6" s="10" t="s">
        <v>6</v>
      </c>
    </row>
    <row r="7" spans="1:21" ht="12.75">
      <c r="A7" s="10" t="s">
        <v>7</v>
      </c>
      <c r="B7" s="10">
        <v>600</v>
      </c>
      <c r="C7" s="11">
        <v>900</v>
      </c>
      <c r="D7" s="12">
        <v>436</v>
      </c>
      <c r="E7" s="10">
        <v>162</v>
      </c>
      <c r="F7" s="11">
        <v>263</v>
      </c>
      <c r="G7" s="12">
        <v>188</v>
      </c>
      <c r="H7" s="10">
        <v>3.246913580246914</v>
      </c>
      <c r="I7" s="11">
        <v>3.7072243346007623</v>
      </c>
      <c r="J7" s="12">
        <v>3.303191489361701</v>
      </c>
      <c r="K7" s="10">
        <v>0.10655306824611738</v>
      </c>
      <c r="L7" s="11">
        <v>0.07029139313584358</v>
      </c>
      <c r="M7" s="12">
        <v>0.08693823702662949</v>
      </c>
      <c r="N7" s="10">
        <v>1.3561991480351265</v>
      </c>
      <c r="O7" s="11">
        <v>1.1399348343572715</v>
      </c>
      <c r="P7" s="12">
        <v>1.1920370492447376</v>
      </c>
      <c r="R7" s="10">
        <v>-0.3826838089630168</v>
      </c>
      <c r="S7" s="10">
        <v>0.1906998295386152</v>
      </c>
      <c r="T7" s="10">
        <v>-1.0004335638612651</v>
      </c>
      <c r="U7" s="10">
        <v>0.3791667473207609</v>
      </c>
    </row>
    <row r="8" spans="1:21" ht="12.75">
      <c r="A8" s="10" t="s">
        <v>8</v>
      </c>
      <c r="B8" s="10">
        <v>600</v>
      </c>
      <c r="C8" s="11">
        <v>900</v>
      </c>
      <c r="D8" s="12">
        <v>436</v>
      </c>
      <c r="E8" s="10">
        <v>164</v>
      </c>
      <c r="F8" s="11">
        <v>297</v>
      </c>
      <c r="G8" s="12">
        <v>188</v>
      </c>
      <c r="H8" s="10">
        <v>4.457317073170732</v>
      </c>
      <c r="I8" s="11">
        <v>4.50841750841751</v>
      </c>
      <c r="J8" s="12">
        <v>4.367021276595745</v>
      </c>
      <c r="K8" s="10">
        <v>0.06198292602054256</v>
      </c>
      <c r="L8" s="11">
        <v>0.04502617465942205</v>
      </c>
      <c r="M8" s="12">
        <v>0.058830413218687816</v>
      </c>
      <c r="N8" s="10">
        <v>0.7937687518182865</v>
      </c>
      <c r="O8" s="11">
        <v>0.7759670431950391</v>
      </c>
      <c r="P8" s="12">
        <v>0.806641986052383</v>
      </c>
      <c r="R8" s="10">
        <v>-1.758251608993477</v>
      </c>
      <c r="S8" s="10">
        <v>0.18955429812804556</v>
      </c>
      <c r="T8" s="10">
        <v>3.805497752287706</v>
      </c>
      <c r="U8" s="10">
        <v>0.3769147351270254</v>
      </c>
    </row>
    <row r="9" spans="1:21" ht="12.75">
      <c r="A9" s="10" t="s">
        <v>9</v>
      </c>
      <c r="B9" s="10">
        <v>600</v>
      </c>
      <c r="C9" s="11">
        <v>900</v>
      </c>
      <c r="D9" s="12">
        <v>436</v>
      </c>
      <c r="E9" s="10">
        <v>166</v>
      </c>
      <c r="F9" s="11">
        <v>291</v>
      </c>
      <c r="G9" s="12">
        <v>190</v>
      </c>
      <c r="H9" s="10">
        <v>3.855421686746988</v>
      </c>
      <c r="I9" s="11">
        <v>4.051546391752576</v>
      </c>
      <c r="J9" s="12">
        <v>3.4947368421052625</v>
      </c>
      <c r="K9" s="10">
        <v>0.08891256570553203</v>
      </c>
      <c r="L9" s="11">
        <v>0.0647880959951151</v>
      </c>
      <c r="M9" s="12">
        <v>0.08533432813912507</v>
      </c>
      <c r="N9" s="10">
        <v>1.1455582745965094</v>
      </c>
      <c r="O9" s="11">
        <v>1.105202125566914</v>
      </c>
      <c r="P9" s="12">
        <v>1.1762525392965644</v>
      </c>
      <c r="R9" s="10">
        <v>-0.8633894534364444</v>
      </c>
      <c r="S9" s="10">
        <v>0.18842916751966554</v>
      </c>
      <c r="T9" s="10">
        <v>-0.21447221595082125</v>
      </c>
      <c r="U9" s="10">
        <v>0.37470240048838216</v>
      </c>
    </row>
    <row r="10" spans="1:21" ht="12.75">
      <c r="A10" s="10" t="s">
        <v>17</v>
      </c>
      <c r="B10" s="10">
        <v>600</v>
      </c>
      <c r="C10" s="11">
        <v>900</v>
      </c>
      <c r="D10" s="12">
        <v>436</v>
      </c>
      <c r="E10" s="10">
        <v>167</v>
      </c>
      <c r="F10" s="11">
        <v>289</v>
      </c>
      <c r="G10" s="12">
        <v>189</v>
      </c>
      <c r="H10" s="10">
        <v>4.02395209580838</v>
      </c>
      <c r="I10" s="11">
        <v>3.619377162629759</v>
      </c>
      <c r="J10" s="12">
        <v>3.9523809523809503</v>
      </c>
      <c r="K10" s="10">
        <v>0.08784101955233274</v>
      </c>
      <c r="L10" s="11">
        <v>0.08391746599038097</v>
      </c>
      <c r="M10" s="12">
        <v>0.07128771431766695</v>
      </c>
      <c r="N10" s="10">
        <v>1.1351561423746435</v>
      </c>
      <c r="O10" s="11">
        <v>1.4265969218364765</v>
      </c>
      <c r="P10" s="12">
        <v>0.980044040943288</v>
      </c>
      <c r="R10" s="10">
        <v>-1.0227836860081485</v>
      </c>
      <c r="S10" s="10">
        <v>0.18787406452247082</v>
      </c>
      <c r="T10" s="10">
        <v>0.22799278356196306</v>
      </c>
      <c r="U10" s="10">
        <v>0.3736107503348025</v>
      </c>
    </row>
    <row r="11" spans="1:21" ht="12.75">
      <c r="A11" s="10" t="s">
        <v>10</v>
      </c>
      <c r="B11" s="10">
        <v>600</v>
      </c>
      <c r="C11" s="11">
        <v>900</v>
      </c>
      <c r="D11" s="12">
        <v>436</v>
      </c>
      <c r="E11" s="10">
        <v>166</v>
      </c>
      <c r="F11" s="11">
        <v>296</v>
      </c>
      <c r="G11" s="12">
        <v>190</v>
      </c>
      <c r="H11" s="10">
        <v>4.674698795180724</v>
      </c>
      <c r="I11" s="11">
        <v>4.787162162162164</v>
      </c>
      <c r="J11" s="12">
        <v>4.736842105263157</v>
      </c>
      <c r="K11" s="10">
        <v>0.05213013980839168</v>
      </c>
      <c r="L11" s="11">
        <v>0.030940224352895635</v>
      </c>
      <c r="M11" s="12">
        <v>0.041832869942268334</v>
      </c>
      <c r="N11" s="10">
        <v>0.671649867929302</v>
      </c>
      <c r="O11" s="11">
        <v>0.5323157474377634</v>
      </c>
      <c r="P11" s="12">
        <v>0.5766263187240763</v>
      </c>
      <c r="R11" s="10">
        <v>-2.4224116305609864</v>
      </c>
      <c r="S11" s="10">
        <v>0.18842916751966554</v>
      </c>
      <c r="T11" s="10">
        <v>6.80287025751705</v>
      </c>
      <c r="U11" s="10">
        <v>0.37470240048838216</v>
      </c>
    </row>
    <row r="12" spans="1:21" ht="12.75">
      <c r="A12" s="10" t="s">
        <v>11</v>
      </c>
      <c r="B12" s="10">
        <v>600</v>
      </c>
      <c r="C12" s="11">
        <v>900</v>
      </c>
      <c r="D12" s="12">
        <v>436</v>
      </c>
      <c r="E12" s="10">
        <v>160</v>
      </c>
      <c r="F12" s="11">
        <v>276</v>
      </c>
      <c r="G12" s="12">
        <v>190</v>
      </c>
      <c r="H12" s="10">
        <v>4.4625</v>
      </c>
      <c r="I12" s="11">
        <v>4.623188405797101</v>
      </c>
      <c r="J12" s="12">
        <v>4.473684210526316</v>
      </c>
      <c r="K12" s="10">
        <v>0.06861586399990043</v>
      </c>
      <c r="L12" s="11">
        <v>0.037160690516583265</v>
      </c>
      <c r="M12" s="12">
        <v>0.055187188371099344</v>
      </c>
      <c r="N12" s="10">
        <v>0.8679296554401474</v>
      </c>
      <c r="O12" s="11">
        <v>0.6173597572151279</v>
      </c>
      <c r="P12" s="12">
        <v>0.7607028949980199</v>
      </c>
      <c r="R12" s="10">
        <v>-1.812026449860509</v>
      </c>
      <c r="S12" s="10">
        <v>0.19186638588324323</v>
      </c>
      <c r="T12" s="10">
        <v>3.170152985831682</v>
      </c>
      <c r="U12" s="10">
        <v>0.38145963818675976</v>
      </c>
    </row>
    <row r="13" spans="1:21" ht="12.75">
      <c r="A13" s="10" t="s">
        <v>12</v>
      </c>
      <c r="B13" s="10">
        <v>600</v>
      </c>
      <c r="C13" s="11">
        <v>900</v>
      </c>
      <c r="D13" s="12">
        <v>436</v>
      </c>
      <c r="E13" s="10">
        <v>163</v>
      </c>
      <c r="F13" s="11">
        <v>296</v>
      </c>
      <c r="G13" s="12">
        <v>188</v>
      </c>
      <c r="H13" s="10">
        <v>4.638036809815953</v>
      </c>
      <c r="I13" s="11">
        <v>4.601351351351348</v>
      </c>
      <c r="J13" s="12">
        <v>4.6010638297872335</v>
      </c>
      <c r="K13" s="10">
        <v>0.05891164040030666</v>
      </c>
      <c r="L13" s="11">
        <v>0.045774179752998016</v>
      </c>
      <c r="M13" s="12">
        <v>0.04742780419085877</v>
      </c>
      <c r="N13" s="10">
        <v>0.7521334749024086</v>
      </c>
      <c r="O13" s="11">
        <v>0.7875287661347317</v>
      </c>
      <c r="P13" s="12">
        <v>0.6502972879759616</v>
      </c>
      <c r="R13" s="10">
        <v>-2.375846624442275</v>
      </c>
      <c r="S13" s="10">
        <v>0.19012447534197954</v>
      </c>
      <c r="T13" s="10">
        <v>5.7502174104285775</v>
      </c>
      <c r="U13" s="10">
        <v>0.3780357076357136</v>
      </c>
    </row>
    <row r="14" spans="4:16" ht="12.75">
      <c r="D14" s="12"/>
      <c r="G14" s="12"/>
      <c r="J14" s="12"/>
      <c r="M14" s="12"/>
      <c r="P14" s="12"/>
    </row>
    <row r="15" spans="1:16" ht="12.75">
      <c r="A15" s="10" t="s">
        <v>18</v>
      </c>
      <c r="B15" s="10">
        <v>600</v>
      </c>
      <c r="C15" s="11">
        <v>900</v>
      </c>
      <c r="D15" s="12">
        <v>436</v>
      </c>
      <c r="E15" s="10">
        <v>170</v>
      </c>
      <c r="F15" s="11">
        <v>298</v>
      </c>
      <c r="G15" s="12">
        <v>190</v>
      </c>
      <c r="H15" s="10">
        <v>4.19641456582633</v>
      </c>
      <c r="I15" s="11">
        <v>4.275727069351227</v>
      </c>
      <c r="J15" s="12">
        <v>4.1348370927318285</v>
      </c>
      <c r="K15" s="10">
        <v>0.04981669236075198</v>
      </c>
      <c r="L15" s="11">
        <v>0.03589846398298117</v>
      </c>
      <c r="M15" s="12">
        <v>0.042997997883988816</v>
      </c>
      <c r="N15" s="10">
        <v>0.6495302013149095</v>
      </c>
      <c r="O15" s="11">
        <v>0.6197035706436941</v>
      </c>
      <c r="P15" s="12">
        <v>0.592686499075174</v>
      </c>
    </row>
    <row r="16" spans="1:16" ht="12.75">
      <c r="A16" s="10" t="s">
        <v>16</v>
      </c>
      <c r="B16" s="10">
        <v>600</v>
      </c>
      <c r="C16" s="11">
        <v>900</v>
      </c>
      <c r="D16" s="12">
        <v>436</v>
      </c>
      <c r="E16" s="10">
        <v>171</v>
      </c>
      <c r="F16" s="11">
        <v>297</v>
      </c>
      <c r="G16" s="12">
        <v>193</v>
      </c>
      <c r="H16" s="10">
        <v>4.368421052631578</v>
      </c>
      <c r="I16" s="11">
        <v>4.36363636363636</v>
      </c>
      <c r="J16" s="12">
        <v>4.476683937823837</v>
      </c>
      <c r="K16" s="10">
        <v>0.059752232862899636</v>
      </c>
      <c r="L16" s="11">
        <v>0.04328711818829396</v>
      </c>
      <c r="M16" s="12">
        <v>0.04877190999389829</v>
      </c>
      <c r="N16" s="10">
        <v>0.7813618341008687</v>
      </c>
      <c r="O16" s="11">
        <v>0.7459966866622512</v>
      </c>
      <c r="P16" s="12">
        <v>0.6775610278487192</v>
      </c>
    </row>
    <row r="17" ht="12.75"/>
    <row r="18" ht="12.75"/>
    <row r="22" spans="9:10" ht="12.75">
      <c r="I22" s="11" t="s">
        <v>228</v>
      </c>
      <c r="J22" s="10">
        <f>1.96*M15</f>
        <v>0.08427607585261808</v>
      </c>
    </row>
    <row r="23" spans="9:10" ht="12.75">
      <c r="I23" s="11" t="s">
        <v>330</v>
      </c>
      <c r="J23" s="10">
        <f>J15-J22</f>
        <v>4.05056101687921</v>
      </c>
    </row>
    <row r="24" spans="9:10" ht="12.75">
      <c r="I24" s="11" t="s">
        <v>331</v>
      </c>
      <c r="J24" s="10">
        <f>J15+J22</f>
        <v>4.219113168584447</v>
      </c>
    </row>
  </sheetData>
  <printOptions/>
  <pageMargins left="0.75" right="0.75" top="1" bottom="1" header="0" footer="0"/>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224"/>
  <sheetViews>
    <sheetView workbookViewId="0" topLeftCell="A205">
      <selection activeCell="E221" sqref="E221"/>
    </sheetView>
  </sheetViews>
  <sheetFormatPr defaultColWidth="11.421875" defaultRowHeight="12.75"/>
  <cols>
    <col min="2" max="2" width="12.28125" style="0" bestFit="1" customWidth="1"/>
  </cols>
  <sheetData>
    <row r="1" spans="1:3" ht="12.75">
      <c r="A1" t="s">
        <v>241</v>
      </c>
      <c r="B1" t="s">
        <v>253</v>
      </c>
      <c r="C1" t="s">
        <v>254</v>
      </c>
    </row>
    <row r="2" spans="1:3" ht="12.75">
      <c r="A2">
        <v>5</v>
      </c>
      <c r="B2">
        <f>$A$2/$A$2</f>
        <v>1</v>
      </c>
      <c r="C2">
        <f>$A$2/1</f>
        <v>5</v>
      </c>
    </row>
    <row r="3" spans="2:3" ht="12.75">
      <c r="B3">
        <f aca="true" t="shared" si="0" ref="B3:B66">$A$2/$A$2</f>
        <v>1</v>
      </c>
      <c r="C3">
        <f aca="true" t="shared" si="1" ref="C3:C66">$A$2/1</f>
        <v>5</v>
      </c>
    </row>
    <row r="4" spans="2:3" ht="12.75">
      <c r="B4">
        <f t="shared" si="0"/>
        <v>1</v>
      </c>
      <c r="C4">
        <f t="shared" si="1"/>
        <v>5</v>
      </c>
    </row>
    <row r="5" spans="2:3" ht="12.75">
      <c r="B5">
        <f t="shared" si="0"/>
        <v>1</v>
      </c>
      <c r="C5">
        <f t="shared" si="1"/>
        <v>5</v>
      </c>
    </row>
    <row r="6" spans="2:3" ht="12.75">
      <c r="B6">
        <f t="shared" si="0"/>
        <v>1</v>
      </c>
      <c r="C6">
        <f t="shared" si="1"/>
        <v>5</v>
      </c>
    </row>
    <row r="7" spans="2:3" ht="12.75">
      <c r="B7">
        <f t="shared" si="0"/>
        <v>1</v>
      </c>
      <c r="C7">
        <f t="shared" si="1"/>
        <v>5</v>
      </c>
    </row>
    <row r="8" spans="2:3" ht="12.75">
      <c r="B8">
        <f t="shared" si="0"/>
        <v>1</v>
      </c>
      <c r="C8">
        <f t="shared" si="1"/>
        <v>5</v>
      </c>
    </row>
    <row r="9" spans="2:3" ht="12.75">
      <c r="B9">
        <f t="shared" si="0"/>
        <v>1</v>
      </c>
      <c r="C9">
        <f t="shared" si="1"/>
        <v>5</v>
      </c>
    </row>
    <row r="10" spans="2:3" ht="12.75">
      <c r="B10">
        <f t="shared" si="0"/>
        <v>1</v>
      </c>
      <c r="C10">
        <f t="shared" si="1"/>
        <v>5</v>
      </c>
    </row>
    <row r="11" spans="2:3" ht="12.75">
      <c r="B11">
        <f t="shared" si="0"/>
        <v>1</v>
      </c>
      <c r="C11">
        <f t="shared" si="1"/>
        <v>5</v>
      </c>
    </row>
    <row r="12" spans="2:3" ht="12.75">
      <c r="B12">
        <f t="shared" si="0"/>
        <v>1</v>
      </c>
      <c r="C12">
        <f t="shared" si="1"/>
        <v>5</v>
      </c>
    </row>
    <row r="13" spans="2:3" ht="12.75">
      <c r="B13">
        <f t="shared" si="0"/>
        <v>1</v>
      </c>
      <c r="C13">
        <f t="shared" si="1"/>
        <v>5</v>
      </c>
    </row>
    <row r="14" spans="2:3" ht="12.75">
      <c r="B14">
        <f t="shared" si="0"/>
        <v>1</v>
      </c>
      <c r="C14">
        <f t="shared" si="1"/>
        <v>5</v>
      </c>
    </row>
    <row r="15" spans="2:3" ht="12.75">
      <c r="B15">
        <f t="shared" si="0"/>
        <v>1</v>
      </c>
      <c r="C15">
        <f t="shared" si="1"/>
        <v>5</v>
      </c>
    </row>
    <row r="16" spans="2:3" ht="12.75">
      <c r="B16">
        <f t="shared" si="0"/>
        <v>1</v>
      </c>
      <c r="C16">
        <f t="shared" si="1"/>
        <v>5</v>
      </c>
    </row>
    <row r="17" spans="2:3" ht="12.75">
      <c r="B17">
        <f t="shared" si="0"/>
        <v>1</v>
      </c>
      <c r="C17">
        <f t="shared" si="1"/>
        <v>5</v>
      </c>
    </row>
    <row r="18" spans="2:3" ht="12.75">
      <c r="B18">
        <f t="shared" si="0"/>
        <v>1</v>
      </c>
      <c r="C18">
        <f t="shared" si="1"/>
        <v>5</v>
      </c>
    </row>
    <row r="19" spans="2:3" ht="12.75">
      <c r="B19">
        <f t="shared" si="0"/>
        <v>1</v>
      </c>
      <c r="C19">
        <f t="shared" si="1"/>
        <v>5</v>
      </c>
    </row>
    <row r="20" spans="2:3" ht="12.75">
      <c r="B20">
        <f t="shared" si="0"/>
        <v>1</v>
      </c>
      <c r="C20">
        <f t="shared" si="1"/>
        <v>5</v>
      </c>
    </row>
    <row r="21" spans="2:3" ht="12.75">
      <c r="B21">
        <f t="shared" si="0"/>
        <v>1</v>
      </c>
      <c r="C21">
        <f t="shared" si="1"/>
        <v>5</v>
      </c>
    </row>
    <row r="22" spans="2:3" ht="12.75">
      <c r="B22">
        <f t="shared" si="0"/>
        <v>1</v>
      </c>
      <c r="C22">
        <f t="shared" si="1"/>
        <v>5</v>
      </c>
    </row>
    <row r="23" spans="2:3" ht="12.75">
      <c r="B23">
        <f t="shared" si="0"/>
        <v>1</v>
      </c>
      <c r="C23">
        <f t="shared" si="1"/>
        <v>5</v>
      </c>
    </row>
    <row r="24" spans="2:3" ht="12.75">
      <c r="B24">
        <f t="shared" si="0"/>
        <v>1</v>
      </c>
      <c r="C24">
        <f t="shared" si="1"/>
        <v>5</v>
      </c>
    </row>
    <row r="25" spans="2:3" ht="12.75">
      <c r="B25">
        <f t="shared" si="0"/>
        <v>1</v>
      </c>
      <c r="C25">
        <f t="shared" si="1"/>
        <v>5</v>
      </c>
    </row>
    <row r="26" spans="2:3" ht="12.75">
      <c r="B26">
        <f t="shared" si="0"/>
        <v>1</v>
      </c>
      <c r="C26">
        <f t="shared" si="1"/>
        <v>5</v>
      </c>
    </row>
    <row r="27" spans="2:3" ht="12.75">
      <c r="B27">
        <f t="shared" si="0"/>
        <v>1</v>
      </c>
      <c r="C27">
        <f t="shared" si="1"/>
        <v>5</v>
      </c>
    </row>
    <row r="28" spans="2:3" ht="12.75">
      <c r="B28">
        <f t="shared" si="0"/>
        <v>1</v>
      </c>
      <c r="C28">
        <f t="shared" si="1"/>
        <v>5</v>
      </c>
    </row>
    <row r="29" spans="2:3" ht="12.75">
      <c r="B29">
        <f t="shared" si="0"/>
        <v>1</v>
      </c>
      <c r="C29">
        <f t="shared" si="1"/>
        <v>5</v>
      </c>
    </row>
    <row r="30" spans="2:3" ht="12.75">
      <c r="B30">
        <f t="shared" si="0"/>
        <v>1</v>
      </c>
      <c r="C30">
        <f t="shared" si="1"/>
        <v>5</v>
      </c>
    </row>
    <row r="31" spans="2:3" ht="12.75">
      <c r="B31">
        <f t="shared" si="0"/>
        <v>1</v>
      </c>
      <c r="C31">
        <f t="shared" si="1"/>
        <v>5</v>
      </c>
    </row>
    <row r="32" spans="2:3" ht="12.75">
      <c r="B32">
        <f t="shared" si="0"/>
        <v>1</v>
      </c>
      <c r="C32">
        <f t="shared" si="1"/>
        <v>5</v>
      </c>
    </row>
    <row r="33" spans="2:3" ht="12.75">
      <c r="B33">
        <f t="shared" si="0"/>
        <v>1</v>
      </c>
      <c r="C33">
        <f t="shared" si="1"/>
        <v>5</v>
      </c>
    </row>
    <row r="34" spans="2:3" ht="12.75">
      <c r="B34">
        <f t="shared" si="0"/>
        <v>1</v>
      </c>
      <c r="C34">
        <f t="shared" si="1"/>
        <v>5</v>
      </c>
    </row>
    <row r="35" spans="2:3" ht="12.75">
      <c r="B35">
        <f t="shared" si="0"/>
        <v>1</v>
      </c>
      <c r="C35">
        <f t="shared" si="1"/>
        <v>5</v>
      </c>
    </row>
    <row r="36" spans="2:3" ht="12.75">
      <c r="B36">
        <f t="shared" si="0"/>
        <v>1</v>
      </c>
      <c r="C36">
        <f t="shared" si="1"/>
        <v>5</v>
      </c>
    </row>
    <row r="37" spans="2:3" ht="12.75">
      <c r="B37">
        <f t="shared" si="0"/>
        <v>1</v>
      </c>
      <c r="C37">
        <f t="shared" si="1"/>
        <v>5</v>
      </c>
    </row>
    <row r="38" spans="2:3" ht="12.75">
      <c r="B38">
        <f t="shared" si="0"/>
        <v>1</v>
      </c>
      <c r="C38">
        <f t="shared" si="1"/>
        <v>5</v>
      </c>
    </row>
    <row r="39" spans="2:3" ht="12.75">
      <c r="B39">
        <f t="shared" si="0"/>
        <v>1</v>
      </c>
      <c r="C39">
        <f t="shared" si="1"/>
        <v>5</v>
      </c>
    </row>
    <row r="40" spans="2:3" ht="12.75">
      <c r="B40">
        <f t="shared" si="0"/>
        <v>1</v>
      </c>
      <c r="C40">
        <f t="shared" si="1"/>
        <v>5</v>
      </c>
    </row>
    <row r="41" spans="2:3" ht="12.75">
      <c r="B41">
        <f t="shared" si="0"/>
        <v>1</v>
      </c>
      <c r="C41">
        <f t="shared" si="1"/>
        <v>5</v>
      </c>
    </row>
    <row r="42" spans="2:3" ht="12.75">
      <c r="B42">
        <f t="shared" si="0"/>
        <v>1</v>
      </c>
      <c r="C42">
        <f t="shared" si="1"/>
        <v>5</v>
      </c>
    </row>
    <row r="43" spans="2:3" ht="12.75">
      <c r="B43">
        <f t="shared" si="0"/>
        <v>1</v>
      </c>
      <c r="C43">
        <f t="shared" si="1"/>
        <v>5</v>
      </c>
    </row>
    <row r="44" spans="2:3" ht="12.75">
      <c r="B44">
        <f t="shared" si="0"/>
        <v>1</v>
      </c>
      <c r="C44">
        <f t="shared" si="1"/>
        <v>5</v>
      </c>
    </row>
    <row r="45" spans="2:3" ht="12.75">
      <c r="B45">
        <f t="shared" si="0"/>
        <v>1</v>
      </c>
      <c r="C45">
        <f t="shared" si="1"/>
        <v>5</v>
      </c>
    </row>
    <row r="46" spans="2:3" ht="12.75">
      <c r="B46">
        <f t="shared" si="0"/>
        <v>1</v>
      </c>
      <c r="C46">
        <f t="shared" si="1"/>
        <v>5</v>
      </c>
    </row>
    <row r="47" spans="2:3" ht="12.75">
      <c r="B47">
        <f t="shared" si="0"/>
        <v>1</v>
      </c>
      <c r="C47">
        <f t="shared" si="1"/>
        <v>5</v>
      </c>
    </row>
    <row r="48" spans="2:3" ht="12.75">
      <c r="B48">
        <f t="shared" si="0"/>
        <v>1</v>
      </c>
      <c r="C48">
        <f t="shared" si="1"/>
        <v>5</v>
      </c>
    </row>
    <row r="49" spans="2:3" ht="12.75">
      <c r="B49">
        <f t="shared" si="0"/>
        <v>1</v>
      </c>
      <c r="C49">
        <f t="shared" si="1"/>
        <v>5</v>
      </c>
    </row>
    <row r="50" spans="2:3" ht="12.75">
      <c r="B50">
        <f t="shared" si="0"/>
        <v>1</v>
      </c>
      <c r="C50">
        <f t="shared" si="1"/>
        <v>5</v>
      </c>
    </row>
    <row r="51" spans="2:3" ht="12.75">
      <c r="B51">
        <f t="shared" si="0"/>
        <v>1</v>
      </c>
      <c r="C51">
        <f t="shared" si="1"/>
        <v>5</v>
      </c>
    </row>
    <row r="52" spans="2:3" ht="12.75">
      <c r="B52">
        <f t="shared" si="0"/>
        <v>1</v>
      </c>
      <c r="C52">
        <f t="shared" si="1"/>
        <v>5</v>
      </c>
    </row>
    <row r="53" spans="2:3" ht="12.75">
      <c r="B53">
        <f t="shared" si="0"/>
        <v>1</v>
      </c>
      <c r="C53">
        <f t="shared" si="1"/>
        <v>5</v>
      </c>
    </row>
    <row r="54" spans="2:3" ht="12.75">
      <c r="B54">
        <f t="shared" si="0"/>
        <v>1</v>
      </c>
      <c r="C54">
        <f t="shared" si="1"/>
        <v>5</v>
      </c>
    </row>
    <row r="55" spans="2:3" ht="12.75">
      <c r="B55">
        <f t="shared" si="0"/>
        <v>1</v>
      </c>
      <c r="C55">
        <f t="shared" si="1"/>
        <v>5</v>
      </c>
    </row>
    <row r="56" spans="2:3" ht="12.75">
      <c r="B56">
        <f t="shared" si="0"/>
        <v>1</v>
      </c>
      <c r="C56">
        <f t="shared" si="1"/>
        <v>5</v>
      </c>
    </row>
    <row r="57" spans="2:3" ht="12.75">
      <c r="B57">
        <f t="shared" si="0"/>
        <v>1</v>
      </c>
      <c r="C57">
        <f t="shared" si="1"/>
        <v>5</v>
      </c>
    </row>
    <row r="58" spans="2:3" ht="12.75">
      <c r="B58">
        <f t="shared" si="0"/>
        <v>1</v>
      </c>
      <c r="C58">
        <f t="shared" si="1"/>
        <v>5</v>
      </c>
    </row>
    <row r="59" spans="2:3" ht="12.75">
      <c r="B59">
        <f t="shared" si="0"/>
        <v>1</v>
      </c>
      <c r="C59">
        <f t="shared" si="1"/>
        <v>5</v>
      </c>
    </row>
    <row r="60" spans="2:3" ht="12.75">
      <c r="B60">
        <f t="shared" si="0"/>
        <v>1</v>
      </c>
      <c r="C60">
        <f t="shared" si="1"/>
        <v>5</v>
      </c>
    </row>
    <row r="61" spans="2:3" ht="12.75">
      <c r="B61">
        <f t="shared" si="0"/>
        <v>1</v>
      </c>
      <c r="C61">
        <f t="shared" si="1"/>
        <v>5</v>
      </c>
    </row>
    <row r="62" spans="2:3" ht="12.75">
      <c r="B62">
        <f t="shared" si="0"/>
        <v>1</v>
      </c>
      <c r="C62">
        <f t="shared" si="1"/>
        <v>5</v>
      </c>
    </row>
    <row r="63" spans="2:3" ht="12.75">
      <c r="B63">
        <f t="shared" si="0"/>
        <v>1</v>
      </c>
      <c r="C63">
        <f t="shared" si="1"/>
        <v>5</v>
      </c>
    </row>
    <row r="64" spans="2:3" ht="12.75">
      <c r="B64">
        <f t="shared" si="0"/>
        <v>1</v>
      </c>
      <c r="C64">
        <f t="shared" si="1"/>
        <v>5</v>
      </c>
    </row>
    <row r="65" spans="2:3" ht="12.75">
      <c r="B65">
        <f t="shared" si="0"/>
        <v>1</v>
      </c>
      <c r="C65">
        <f t="shared" si="1"/>
        <v>5</v>
      </c>
    </row>
    <row r="66" spans="2:3" ht="12.75">
      <c r="B66">
        <f t="shared" si="0"/>
        <v>1</v>
      </c>
      <c r="C66">
        <f t="shared" si="1"/>
        <v>5</v>
      </c>
    </row>
    <row r="67" spans="2:3" ht="12.75">
      <c r="B67">
        <f aca="true" t="shared" si="2" ref="B67:B130">$A$2/$A$2</f>
        <v>1</v>
      </c>
      <c r="C67">
        <f aca="true" t="shared" si="3" ref="C67:C130">$A$2/1</f>
        <v>5</v>
      </c>
    </row>
    <row r="68" spans="2:3" ht="12.75">
      <c r="B68">
        <f t="shared" si="2"/>
        <v>1</v>
      </c>
      <c r="C68">
        <f t="shared" si="3"/>
        <v>5</v>
      </c>
    </row>
    <row r="69" spans="2:3" ht="12.75">
      <c r="B69">
        <f t="shared" si="2"/>
        <v>1</v>
      </c>
      <c r="C69">
        <f t="shared" si="3"/>
        <v>5</v>
      </c>
    </row>
    <row r="70" spans="2:3" ht="12.75">
      <c r="B70">
        <f t="shared" si="2"/>
        <v>1</v>
      </c>
      <c r="C70">
        <f t="shared" si="3"/>
        <v>5</v>
      </c>
    </row>
    <row r="71" spans="2:3" ht="12.75">
      <c r="B71">
        <f t="shared" si="2"/>
        <v>1</v>
      </c>
      <c r="C71">
        <f t="shared" si="3"/>
        <v>5</v>
      </c>
    </row>
    <row r="72" spans="2:3" ht="12.75">
      <c r="B72">
        <f t="shared" si="2"/>
        <v>1</v>
      </c>
      <c r="C72">
        <f t="shared" si="3"/>
        <v>5</v>
      </c>
    </row>
    <row r="73" spans="2:3" ht="12.75">
      <c r="B73">
        <f t="shared" si="2"/>
        <v>1</v>
      </c>
      <c r="C73">
        <f t="shared" si="3"/>
        <v>5</v>
      </c>
    </row>
    <row r="74" spans="2:3" ht="12.75">
      <c r="B74">
        <f t="shared" si="2"/>
        <v>1</v>
      </c>
      <c r="C74">
        <f t="shared" si="3"/>
        <v>5</v>
      </c>
    </row>
    <row r="75" spans="2:3" ht="12.75">
      <c r="B75">
        <f t="shared" si="2"/>
        <v>1</v>
      </c>
      <c r="C75">
        <f t="shared" si="3"/>
        <v>5</v>
      </c>
    </row>
    <row r="76" spans="2:3" ht="12.75">
      <c r="B76">
        <f t="shared" si="2"/>
        <v>1</v>
      </c>
      <c r="C76">
        <f t="shared" si="3"/>
        <v>5</v>
      </c>
    </row>
    <row r="77" spans="2:3" ht="12.75">
      <c r="B77">
        <f t="shared" si="2"/>
        <v>1</v>
      </c>
      <c r="C77">
        <f t="shared" si="3"/>
        <v>5</v>
      </c>
    </row>
    <row r="78" spans="2:3" ht="12.75">
      <c r="B78">
        <f t="shared" si="2"/>
        <v>1</v>
      </c>
      <c r="C78">
        <f t="shared" si="3"/>
        <v>5</v>
      </c>
    </row>
    <row r="79" spans="2:3" ht="12.75">
      <c r="B79">
        <f t="shared" si="2"/>
        <v>1</v>
      </c>
      <c r="C79">
        <f t="shared" si="3"/>
        <v>5</v>
      </c>
    </row>
    <row r="80" spans="2:3" ht="12.75">
      <c r="B80">
        <f t="shared" si="2"/>
        <v>1</v>
      </c>
      <c r="C80">
        <f t="shared" si="3"/>
        <v>5</v>
      </c>
    </row>
    <row r="81" spans="2:3" ht="12.75">
      <c r="B81">
        <f t="shared" si="2"/>
        <v>1</v>
      </c>
      <c r="C81">
        <f t="shared" si="3"/>
        <v>5</v>
      </c>
    </row>
    <row r="82" spans="2:3" ht="12.75">
      <c r="B82">
        <f t="shared" si="2"/>
        <v>1</v>
      </c>
      <c r="C82">
        <f t="shared" si="3"/>
        <v>5</v>
      </c>
    </row>
    <row r="83" spans="2:3" ht="12.75">
      <c r="B83">
        <f t="shared" si="2"/>
        <v>1</v>
      </c>
      <c r="C83">
        <f t="shared" si="3"/>
        <v>5</v>
      </c>
    </row>
    <row r="84" spans="2:3" ht="12.75">
      <c r="B84">
        <f t="shared" si="2"/>
        <v>1</v>
      </c>
      <c r="C84">
        <f t="shared" si="3"/>
        <v>5</v>
      </c>
    </row>
    <row r="85" spans="2:3" ht="12.75">
      <c r="B85">
        <f t="shared" si="2"/>
        <v>1</v>
      </c>
      <c r="C85">
        <f t="shared" si="3"/>
        <v>5</v>
      </c>
    </row>
    <row r="86" spans="2:3" ht="12.75">
      <c r="B86">
        <f t="shared" si="2"/>
        <v>1</v>
      </c>
      <c r="C86">
        <f t="shared" si="3"/>
        <v>5</v>
      </c>
    </row>
    <row r="87" spans="2:3" ht="12.75">
      <c r="B87">
        <f t="shared" si="2"/>
        <v>1</v>
      </c>
      <c r="C87">
        <f t="shared" si="3"/>
        <v>5</v>
      </c>
    </row>
    <row r="88" spans="2:3" ht="12.75">
      <c r="B88">
        <f t="shared" si="2"/>
        <v>1</v>
      </c>
      <c r="C88">
        <f t="shared" si="3"/>
        <v>5</v>
      </c>
    </row>
    <row r="89" spans="2:3" ht="12.75">
      <c r="B89">
        <f t="shared" si="2"/>
        <v>1</v>
      </c>
      <c r="C89">
        <f t="shared" si="3"/>
        <v>5</v>
      </c>
    </row>
    <row r="90" spans="2:3" ht="12.75">
      <c r="B90">
        <f t="shared" si="2"/>
        <v>1</v>
      </c>
      <c r="C90">
        <f t="shared" si="3"/>
        <v>5</v>
      </c>
    </row>
    <row r="91" spans="2:3" ht="12.75">
      <c r="B91">
        <f t="shared" si="2"/>
        <v>1</v>
      </c>
      <c r="C91">
        <f t="shared" si="3"/>
        <v>5</v>
      </c>
    </row>
    <row r="92" spans="2:3" ht="12.75">
      <c r="B92">
        <f t="shared" si="2"/>
        <v>1</v>
      </c>
      <c r="C92">
        <f t="shared" si="3"/>
        <v>5</v>
      </c>
    </row>
    <row r="93" spans="2:3" ht="12.75">
      <c r="B93">
        <f t="shared" si="2"/>
        <v>1</v>
      </c>
      <c r="C93">
        <f t="shared" si="3"/>
        <v>5</v>
      </c>
    </row>
    <row r="94" spans="2:3" ht="12.75">
      <c r="B94">
        <f t="shared" si="2"/>
        <v>1</v>
      </c>
      <c r="C94">
        <f t="shared" si="3"/>
        <v>5</v>
      </c>
    </row>
    <row r="95" spans="2:3" ht="12.75">
      <c r="B95">
        <f t="shared" si="2"/>
        <v>1</v>
      </c>
      <c r="C95">
        <f t="shared" si="3"/>
        <v>5</v>
      </c>
    </row>
    <row r="96" spans="2:3" ht="12.75">
      <c r="B96">
        <f t="shared" si="2"/>
        <v>1</v>
      </c>
      <c r="C96">
        <f t="shared" si="3"/>
        <v>5</v>
      </c>
    </row>
    <row r="97" spans="2:3" ht="12.75">
      <c r="B97">
        <f t="shared" si="2"/>
        <v>1</v>
      </c>
      <c r="C97">
        <f t="shared" si="3"/>
        <v>5</v>
      </c>
    </row>
    <row r="98" spans="2:3" ht="12.75">
      <c r="B98">
        <f t="shared" si="2"/>
        <v>1</v>
      </c>
      <c r="C98">
        <f t="shared" si="3"/>
        <v>5</v>
      </c>
    </row>
    <row r="99" spans="2:3" ht="12.75">
      <c r="B99">
        <f t="shared" si="2"/>
        <v>1</v>
      </c>
      <c r="C99">
        <f t="shared" si="3"/>
        <v>5</v>
      </c>
    </row>
    <row r="100" spans="2:3" ht="12.75">
      <c r="B100">
        <f t="shared" si="2"/>
        <v>1</v>
      </c>
      <c r="C100">
        <f t="shared" si="3"/>
        <v>5</v>
      </c>
    </row>
    <row r="101" spans="2:3" ht="12.75">
      <c r="B101">
        <f t="shared" si="2"/>
        <v>1</v>
      </c>
      <c r="C101">
        <f t="shared" si="3"/>
        <v>5</v>
      </c>
    </row>
    <row r="102" spans="2:3" ht="12.75">
      <c r="B102">
        <f t="shared" si="2"/>
        <v>1</v>
      </c>
      <c r="C102">
        <f t="shared" si="3"/>
        <v>5</v>
      </c>
    </row>
    <row r="103" spans="2:3" ht="12.75">
      <c r="B103">
        <f t="shared" si="2"/>
        <v>1</v>
      </c>
      <c r="C103">
        <f t="shared" si="3"/>
        <v>5</v>
      </c>
    </row>
    <row r="104" spans="2:3" ht="12.75">
      <c r="B104">
        <f t="shared" si="2"/>
        <v>1</v>
      </c>
      <c r="C104">
        <f t="shared" si="3"/>
        <v>5</v>
      </c>
    </row>
    <row r="105" spans="2:3" ht="12.75">
      <c r="B105">
        <f t="shared" si="2"/>
        <v>1</v>
      </c>
      <c r="C105">
        <f t="shared" si="3"/>
        <v>5</v>
      </c>
    </row>
    <row r="106" spans="2:3" ht="12.75">
      <c r="B106">
        <f t="shared" si="2"/>
        <v>1</v>
      </c>
      <c r="C106">
        <f t="shared" si="3"/>
        <v>5</v>
      </c>
    </row>
    <row r="107" spans="2:3" ht="12.75">
      <c r="B107">
        <f t="shared" si="2"/>
        <v>1</v>
      </c>
      <c r="C107">
        <f t="shared" si="3"/>
        <v>5</v>
      </c>
    </row>
    <row r="108" spans="2:3" ht="12.75">
      <c r="B108">
        <f t="shared" si="2"/>
        <v>1</v>
      </c>
      <c r="C108">
        <f t="shared" si="3"/>
        <v>5</v>
      </c>
    </row>
    <row r="109" spans="2:3" ht="12.75">
      <c r="B109">
        <f t="shared" si="2"/>
        <v>1</v>
      </c>
      <c r="C109">
        <f t="shared" si="3"/>
        <v>5</v>
      </c>
    </row>
    <row r="110" spans="2:3" ht="12.75">
      <c r="B110">
        <f t="shared" si="2"/>
        <v>1</v>
      </c>
      <c r="C110">
        <f t="shared" si="3"/>
        <v>5</v>
      </c>
    </row>
    <row r="111" spans="2:3" ht="12.75">
      <c r="B111">
        <f t="shared" si="2"/>
        <v>1</v>
      </c>
      <c r="C111">
        <f t="shared" si="3"/>
        <v>5</v>
      </c>
    </row>
    <row r="112" spans="2:3" ht="12.75">
      <c r="B112">
        <f t="shared" si="2"/>
        <v>1</v>
      </c>
      <c r="C112">
        <f t="shared" si="3"/>
        <v>5</v>
      </c>
    </row>
    <row r="113" spans="2:3" ht="12.75">
      <c r="B113">
        <f t="shared" si="2"/>
        <v>1</v>
      </c>
      <c r="C113">
        <f t="shared" si="3"/>
        <v>5</v>
      </c>
    </row>
    <row r="114" spans="2:3" ht="12.75">
      <c r="B114">
        <f t="shared" si="2"/>
        <v>1</v>
      </c>
      <c r="C114">
        <f t="shared" si="3"/>
        <v>5</v>
      </c>
    </row>
    <row r="115" spans="2:3" ht="12.75">
      <c r="B115">
        <f t="shared" si="2"/>
        <v>1</v>
      </c>
      <c r="C115">
        <f t="shared" si="3"/>
        <v>5</v>
      </c>
    </row>
    <row r="116" spans="2:3" ht="12.75">
      <c r="B116">
        <f t="shared" si="2"/>
        <v>1</v>
      </c>
      <c r="C116">
        <f t="shared" si="3"/>
        <v>5</v>
      </c>
    </row>
    <row r="117" spans="2:3" ht="12.75">
      <c r="B117">
        <f t="shared" si="2"/>
        <v>1</v>
      </c>
      <c r="C117">
        <f t="shared" si="3"/>
        <v>5</v>
      </c>
    </row>
    <row r="118" spans="2:3" ht="12.75">
      <c r="B118">
        <f t="shared" si="2"/>
        <v>1</v>
      </c>
      <c r="C118">
        <f t="shared" si="3"/>
        <v>5</v>
      </c>
    </row>
    <row r="119" spans="2:3" ht="12.75">
      <c r="B119">
        <f t="shared" si="2"/>
        <v>1</v>
      </c>
      <c r="C119">
        <f t="shared" si="3"/>
        <v>5</v>
      </c>
    </row>
    <row r="120" spans="2:3" ht="12.75">
      <c r="B120">
        <f t="shared" si="2"/>
        <v>1</v>
      </c>
      <c r="C120">
        <f t="shared" si="3"/>
        <v>5</v>
      </c>
    </row>
    <row r="121" spans="2:3" ht="12.75">
      <c r="B121">
        <f t="shared" si="2"/>
        <v>1</v>
      </c>
      <c r="C121">
        <f t="shared" si="3"/>
        <v>5</v>
      </c>
    </row>
    <row r="122" spans="2:3" ht="12.75">
      <c r="B122">
        <f t="shared" si="2"/>
        <v>1</v>
      </c>
      <c r="C122">
        <f t="shared" si="3"/>
        <v>5</v>
      </c>
    </row>
    <row r="123" spans="2:3" ht="12.75">
      <c r="B123">
        <f t="shared" si="2"/>
        <v>1</v>
      </c>
      <c r="C123">
        <f t="shared" si="3"/>
        <v>5</v>
      </c>
    </row>
    <row r="124" spans="2:3" ht="12.75">
      <c r="B124">
        <f t="shared" si="2"/>
        <v>1</v>
      </c>
      <c r="C124">
        <f t="shared" si="3"/>
        <v>5</v>
      </c>
    </row>
    <row r="125" spans="2:3" ht="12.75">
      <c r="B125">
        <f t="shared" si="2"/>
        <v>1</v>
      </c>
      <c r="C125">
        <f t="shared" si="3"/>
        <v>5</v>
      </c>
    </row>
    <row r="126" spans="2:3" ht="12.75">
      <c r="B126">
        <f t="shared" si="2"/>
        <v>1</v>
      </c>
      <c r="C126">
        <f t="shared" si="3"/>
        <v>5</v>
      </c>
    </row>
    <row r="127" spans="2:3" ht="12.75">
      <c r="B127">
        <f t="shared" si="2"/>
        <v>1</v>
      </c>
      <c r="C127">
        <f t="shared" si="3"/>
        <v>5</v>
      </c>
    </row>
    <row r="128" spans="2:3" ht="12.75">
      <c r="B128">
        <f t="shared" si="2"/>
        <v>1</v>
      </c>
      <c r="C128">
        <f t="shared" si="3"/>
        <v>5</v>
      </c>
    </row>
    <row r="129" spans="2:3" ht="12.75">
      <c r="B129">
        <f t="shared" si="2"/>
        <v>1</v>
      </c>
      <c r="C129">
        <f t="shared" si="3"/>
        <v>5</v>
      </c>
    </row>
    <row r="130" spans="2:3" ht="12.75">
      <c r="B130">
        <f t="shared" si="2"/>
        <v>1</v>
      </c>
      <c r="C130">
        <f t="shared" si="3"/>
        <v>5</v>
      </c>
    </row>
    <row r="131" spans="2:3" ht="12.75">
      <c r="B131">
        <f aca="true" t="shared" si="4" ref="B131:B194">$A$2/$A$2</f>
        <v>1</v>
      </c>
      <c r="C131">
        <f aca="true" t="shared" si="5" ref="C131:C194">$A$2/1</f>
        <v>5</v>
      </c>
    </row>
    <row r="132" spans="2:3" ht="12.75">
      <c r="B132">
        <f t="shared" si="4"/>
        <v>1</v>
      </c>
      <c r="C132">
        <f t="shared" si="5"/>
        <v>5</v>
      </c>
    </row>
    <row r="133" spans="2:3" ht="12.75">
      <c r="B133">
        <f t="shared" si="4"/>
        <v>1</v>
      </c>
      <c r="C133">
        <f t="shared" si="5"/>
        <v>5</v>
      </c>
    </row>
    <row r="134" spans="2:3" ht="12.75">
      <c r="B134">
        <f t="shared" si="4"/>
        <v>1</v>
      </c>
      <c r="C134">
        <f t="shared" si="5"/>
        <v>5</v>
      </c>
    </row>
    <row r="135" spans="2:3" ht="12.75">
      <c r="B135">
        <f t="shared" si="4"/>
        <v>1</v>
      </c>
      <c r="C135">
        <f t="shared" si="5"/>
        <v>5</v>
      </c>
    </row>
    <row r="136" spans="2:3" ht="12.75">
      <c r="B136">
        <f t="shared" si="4"/>
        <v>1</v>
      </c>
      <c r="C136">
        <f t="shared" si="5"/>
        <v>5</v>
      </c>
    </row>
    <row r="137" spans="2:3" ht="12.75">
      <c r="B137">
        <f t="shared" si="4"/>
        <v>1</v>
      </c>
      <c r="C137">
        <f t="shared" si="5"/>
        <v>5</v>
      </c>
    </row>
    <row r="138" spans="2:3" ht="12.75">
      <c r="B138">
        <f t="shared" si="4"/>
        <v>1</v>
      </c>
      <c r="C138">
        <f t="shared" si="5"/>
        <v>5</v>
      </c>
    </row>
    <row r="139" spans="2:3" ht="12.75">
      <c r="B139">
        <f t="shared" si="4"/>
        <v>1</v>
      </c>
      <c r="C139">
        <f t="shared" si="5"/>
        <v>5</v>
      </c>
    </row>
    <row r="140" spans="2:3" ht="12.75">
      <c r="B140">
        <f t="shared" si="4"/>
        <v>1</v>
      </c>
      <c r="C140">
        <f t="shared" si="5"/>
        <v>5</v>
      </c>
    </row>
    <row r="141" spans="2:3" ht="12.75">
      <c r="B141">
        <f t="shared" si="4"/>
        <v>1</v>
      </c>
      <c r="C141">
        <f t="shared" si="5"/>
        <v>5</v>
      </c>
    </row>
    <row r="142" spans="2:3" ht="12.75">
      <c r="B142">
        <f t="shared" si="4"/>
        <v>1</v>
      </c>
      <c r="C142">
        <f t="shared" si="5"/>
        <v>5</v>
      </c>
    </row>
    <row r="143" spans="2:3" ht="12.75">
      <c r="B143">
        <f t="shared" si="4"/>
        <v>1</v>
      </c>
      <c r="C143">
        <f t="shared" si="5"/>
        <v>5</v>
      </c>
    </row>
    <row r="144" spans="2:3" ht="12.75">
      <c r="B144">
        <f t="shared" si="4"/>
        <v>1</v>
      </c>
      <c r="C144">
        <f t="shared" si="5"/>
        <v>5</v>
      </c>
    </row>
    <row r="145" spans="2:3" ht="12.75">
      <c r="B145">
        <f t="shared" si="4"/>
        <v>1</v>
      </c>
      <c r="C145">
        <f t="shared" si="5"/>
        <v>5</v>
      </c>
    </row>
    <row r="146" spans="2:3" ht="12.75">
      <c r="B146">
        <f t="shared" si="4"/>
        <v>1</v>
      </c>
      <c r="C146">
        <f t="shared" si="5"/>
        <v>5</v>
      </c>
    </row>
    <row r="147" spans="2:3" ht="12.75">
      <c r="B147">
        <f t="shared" si="4"/>
        <v>1</v>
      </c>
      <c r="C147">
        <f t="shared" si="5"/>
        <v>5</v>
      </c>
    </row>
    <row r="148" spans="2:3" ht="12.75">
      <c r="B148">
        <f t="shared" si="4"/>
        <v>1</v>
      </c>
      <c r="C148">
        <f t="shared" si="5"/>
        <v>5</v>
      </c>
    </row>
    <row r="149" spans="2:3" ht="12.75">
      <c r="B149">
        <f t="shared" si="4"/>
        <v>1</v>
      </c>
      <c r="C149">
        <f t="shared" si="5"/>
        <v>5</v>
      </c>
    </row>
    <row r="150" spans="2:3" ht="12.75">
      <c r="B150">
        <f t="shared" si="4"/>
        <v>1</v>
      </c>
      <c r="C150">
        <f t="shared" si="5"/>
        <v>5</v>
      </c>
    </row>
    <row r="151" spans="2:3" ht="12.75">
      <c r="B151">
        <f t="shared" si="4"/>
        <v>1</v>
      </c>
      <c r="C151">
        <f t="shared" si="5"/>
        <v>5</v>
      </c>
    </row>
    <row r="152" spans="2:3" ht="12.75">
      <c r="B152">
        <f t="shared" si="4"/>
        <v>1</v>
      </c>
      <c r="C152">
        <f t="shared" si="5"/>
        <v>5</v>
      </c>
    </row>
    <row r="153" spans="2:3" ht="12.75">
      <c r="B153">
        <f t="shared" si="4"/>
        <v>1</v>
      </c>
      <c r="C153">
        <f t="shared" si="5"/>
        <v>5</v>
      </c>
    </row>
    <row r="154" spans="2:3" ht="12.75">
      <c r="B154">
        <f t="shared" si="4"/>
        <v>1</v>
      </c>
      <c r="C154">
        <f t="shared" si="5"/>
        <v>5</v>
      </c>
    </row>
    <row r="155" spans="2:3" ht="12.75">
      <c r="B155">
        <f t="shared" si="4"/>
        <v>1</v>
      </c>
      <c r="C155">
        <f t="shared" si="5"/>
        <v>5</v>
      </c>
    </row>
    <row r="156" spans="2:3" ht="12.75">
      <c r="B156">
        <f t="shared" si="4"/>
        <v>1</v>
      </c>
      <c r="C156">
        <f t="shared" si="5"/>
        <v>5</v>
      </c>
    </row>
    <row r="157" spans="2:3" ht="12.75">
      <c r="B157">
        <f t="shared" si="4"/>
        <v>1</v>
      </c>
      <c r="C157">
        <f t="shared" si="5"/>
        <v>5</v>
      </c>
    </row>
    <row r="158" spans="2:3" ht="12.75">
      <c r="B158">
        <f t="shared" si="4"/>
        <v>1</v>
      </c>
      <c r="C158">
        <f t="shared" si="5"/>
        <v>5</v>
      </c>
    </row>
    <row r="159" spans="2:3" ht="12.75">
      <c r="B159">
        <f t="shared" si="4"/>
        <v>1</v>
      </c>
      <c r="C159">
        <f t="shared" si="5"/>
        <v>5</v>
      </c>
    </row>
    <row r="160" spans="2:3" ht="12.75">
      <c r="B160">
        <f t="shared" si="4"/>
        <v>1</v>
      </c>
      <c r="C160">
        <f t="shared" si="5"/>
        <v>5</v>
      </c>
    </row>
    <row r="161" spans="2:3" ht="12.75">
      <c r="B161">
        <f t="shared" si="4"/>
        <v>1</v>
      </c>
      <c r="C161">
        <f t="shared" si="5"/>
        <v>5</v>
      </c>
    </row>
    <row r="162" spans="2:3" ht="12.75">
      <c r="B162">
        <f t="shared" si="4"/>
        <v>1</v>
      </c>
      <c r="C162">
        <f t="shared" si="5"/>
        <v>5</v>
      </c>
    </row>
    <row r="163" spans="2:3" ht="12.75">
      <c r="B163">
        <f t="shared" si="4"/>
        <v>1</v>
      </c>
      <c r="C163">
        <f t="shared" si="5"/>
        <v>5</v>
      </c>
    </row>
    <row r="164" spans="2:3" ht="12.75">
      <c r="B164">
        <f t="shared" si="4"/>
        <v>1</v>
      </c>
      <c r="C164">
        <f t="shared" si="5"/>
        <v>5</v>
      </c>
    </row>
    <row r="165" spans="2:3" ht="12.75">
      <c r="B165">
        <f t="shared" si="4"/>
        <v>1</v>
      </c>
      <c r="C165">
        <f t="shared" si="5"/>
        <v>5</v>
      </c>
    </row>
    <row r="166" spans="2:3" ht="12.75">
      <c r="B166">
        <f t="shared" si="4"/>
        <v>1</v>
      </c>
      <c r="C166">
        <f t="shared" si="5"/>
        <v>5</v>
      </c>
    </row>
    <row r="167" spans="2:3" ht="12.75">
      <c r="B167">
        <f t="shared" si="4"/>
        <v>1</v>
      </c>
      <c r="C167">
        <f t="shared" si="5"/>
        <v>5</v>
      </c>
    </row>
    <row r="168" spans="2:3" ht="12.75">
      <c r="B168">
        <f t="shared" si="4"/>
        <v>1</v>
      </c>
      <c r="C168">
        <f t="shared" si="5"/>
        <v>5</v>
      </c>
    </row>
    <row r="169" spans="2:3" ht="12.75">
      <c r="B169">
        <f t="shared" si="4"/>
        <v>1</v>
      </c>
      <c r="C169">
        <f t="shared" si="5"/>
        <v>5</v>
      </c>
    </row>
    <row r="170" spans="2:3" ht="12.75">
      <c r="B170">
        <f t="shared" si="4"/>
        <v>1</v>
      </c>
      <c r="C170">
        <f t="shared" si="5"/>
        <v>5</v>
      </c>
    </row>
    <row r="171" spans="2:3" ht="12.75">
      <c r="B171">
        <f t="shared" si="4"/>
        <v>1</v>
      </c>
      <c r="C171">
        <f t="shared" si="5"/>
        <v>5</v>
      </c>
    </row>
    <row r="172" spans="2:3" ht="12.75">
      <c r="B172">
        <f t="shared" si="4"/>
        <v>1</v>
      </c>
      <c r="C172">
        <f t="shared" si="5"/>
        <v>5</v>
      </c>
    </row>
    <row r="173" spans="2:3" ht="12.75">
      <c r="B173">
        <f t="shared" si="4"/>
        <v>1</v>
      </c>
      <c r="C173">
        <f t="shared" si="5"/>
        <v>5</v>
      </c>
    </row>
    <row r="174" spans="2:3" ht="12.75">
      <c r="B174">
        <f t="shared" si="4"/>
        <v>1</v>
      </c>
      <c r="C174">
        <f t="shared" si="5"/>
        <v>5</v>
      </c>
    </row>
    <row r="175" spans="2:3" ht="12.75">
      <c r="B175">
        <f t="shared" si="4"/>
        <v>1</v>
      </c>
      <c r="C175">
        <f t="shared" si="5"/>
        <v>5</v>
      </c>
    </row>
    <row r="176" spans="2:3" ht="12.75">
      <c r="B176">
        <f t="shared" si="4"/>
        <v>1</v>
      </c>
      <c r="C176">
        <f t="shared" si="5"/>
        <v>5</v>
      </c>
    </row>
    <row r="177" spans="2:3" ht="12.75">
      <c r="B177">
        <f t="shared" si="4"/>
        <v>1</v>
      </c>
      <c r="C177">
        <f t="shared" si="5"/>
        <v>5</v>
      </c>
    </row>
    <row r="178" spans="2:3" ht="12.75">
      <c r="B178">
        <f t="shared" si="4"/>
        <v>1</v>
      </c>
      <c r="C178">
        <f t="shared" si="5"/>
        <v>5</v>
      </c>
    </row>
    <row r="179" spans="2:3" ht="12.75">
      <c r="B179">
        <f t="shared" si="4"/>
        <v>1</v>
      </c>
      <c r="C179">
        <f t="shared" si="5"/>
        <v>5</v>
      </c>
    </row>
    <row r="180" spans="2:3" ht="12.75">
      <c r="B180">
        <f t="shared" si="4"/>
        <v>1</v>
      </c>
      <c r="C180">
        <f t="shared" si="5"/>
        <v>5</v>
      </c>
    </row>
    <row r="181" spans="2:3" ht="12.75">
      <c r="B181">
        <f t="shared" si="4"/>
        <v>1</v>
      </c>
      <c r="C181">
        <f t="shared" si="5"/>
        <v>5</v>
      </c>
    </row>
    <row r="182" spans="2:3" ht="12.75">
      <c r="B182">
        <f t="shared" si="4"/>
        <v>1</v>
      </c>
      <c r="C182">
        <f t="shared" si="5"/>
        <v>5</v>
      </c>
    </row>
    <row r="183" spans="2:3" ht="12.75">
      <c r="B183">
        <f t="shared" si="4"/>
        <v>1</v>
      </c>
      <c r="C183">
        <f t="shared" si="5"/>
        <v>5</v>
      </c>
    </row>
    <row r="184" spans="2:3" ht="12.75">
      <c r="B184">
        <f t="shared" si="4"/>
        <v>1</v>
      </c>
      <c r="C184">
        <f t="shared" si="5"/>
        <v>5</v>
      </c>
    </row>
    <row r="185" spans="2:3" ht="12.75">
      <c r="B185">
        <f t="shared" si="4"/>
        <v>1</v>
      </c>
      <c r="C185">
        <f t="shared" si="5"/>
        <v>5</v>
      </c>
    </row>
    <row r="186" spans="2:3" ht="12.75">
      <c r="B186">
        <f t="shared" si="4"/>
        <v>1</v>
      </c>
      <c r="C186">
        <f t="shared" si="5"/>
        <v>5</v>
      </c>
    </row>
    <row r="187" spans="2:3" ht="12.75">
      <c r="B187">
        <f t="shared" si="4"/>
        <v>1</v>
      </c>
      <c r="C187">
        <f t="shared" si="5"/>
        <v>5</v>
      </c>
    </row>
    <row r="188" spans="2:3" ht="12.75">
      <c r="B188">
        <f t="shared" si="4"/>
        <v>1</v>
      </c>
      <c r="C188">
        <f t="shared" si="5"/>
        <v>5</v>
      </c>
    </row>
    <row r="189" spans="2:3" ht="12.75">
      <c r="B189">
        <f t="shared" si="4"/>
        <v>1</v>
      </c>
      <c r="C189">
        <f t="shared" si="5"/>
        <v>5</v>
      </c>
    </row>
    <row r="190" spans="2:3" ht="12.75">
      <c r="B190">
        <f t="shared" si="4"/>
        <v>1</v>
      </c>
      <c r="C190">
        <f t="shared" si="5"/>
        <v>5</v>
      </c>
    </row>
    <row r="191" spans="2:3" ht="12.75">
      <c r="B191">
        <f t="shared" si="4"/>
        <v>1</v>
      </c>
      <c r="C191">
        <f t="shared" si="5"/>
        <v>5</v>
      </c>
    </row>
    <row r="192" spans="2:3" ht="12.75">
      <c r="B192">
        <f t="shared" si="4"/>
        <v>1</v>
      </c>
      <c r="C192">
        <f t="shared" si="5"/>
        <v>5</v>
      </c>
    </row>
    <row r="193" spans="2:3" ht="12.75">
      <c r="B193">
        <f t="shared" si="4"/>
        <v>1</v>
      </c>
      <c r="C193">
        <f t="shared" si="5"/>
        <v>5</v>
      </c>
    </row>
    <row r="194" spans="2:3" ht="12.75">
      <c r="B194">
        <f t="shared" si="4"/>
        <v>1</v>
      </c>
      <c r="C194">
        <f t="shared" si="5"/>
        <v>5</v>
      </c>
    </row>
    <row r="195" spans="2:3" ht="12.75">
      <c r="B195">
        <f aca="true" t="shared" si="6" ref="B195:B219">$A$2/$A$2</f>
        <v>1</v>
      </c>
      <c r="C195">
        <f aca="true" t="shared" si="7" ref="C195:C219">$A$2/1</f>
        <v>5</v>
      </c>
    </row>
    <row r="196" spans="2:3" ht="12.75">
      <c r="B196">
        <f t="shared" si="6"/>
        <v>1</v>
      </c>
      <c r="C196">
        <f t="shared" si="7"/>
        <v>5</v>
      </c>
    </row>
    <row r="197" spans="2:3" ht="12.75">
      <c r="B197">
        <f t="shared" si="6"/>
        <v>1</v>
      </c>
      <c r="C197">
        <f t="shared" si="7"/>
        <v>5</v>
      </c>
    </row>
    <row r="198" spans="2:3" ht="12.75">
      <c r="B198">
        <f t="shared" si="6"/>
        <v>1</v>
      </c>
      <c r="C198">
        <f t="shared" si="7"/>
        <v>5</v>
      </c>
    </row>
    <row r="199" spans="2:3" ht="12.75">
      <c r="B199">
        <f t="shared" si="6"/>
        <v>1</v>
      </c>
      <c r="C199">
        <f t="shared" si="7"/>
        <v>5</v>
      </c>
    </row>
    <row r="200" spans="2:3" ht="12.75">
      <c r="B200">
        <f t="shared" si="6"/>
        <v>1</v>
      </c>
      <c r="C200">
        <f t="shared" si="7"/>
        <v>5</v>
      </c>
    </row>
    <row r="201" spans="2:3" ht="12.75">
      <c r="B201">
        <f t="shared" si="6"/>
        <v>1</v>
      </c>
      <c r="C201">
        <f t="shared" si="7"/>
        <v>5</v>
      </c>
    </row>
    <row r="202" spans="2:3" ht="12.75">
      <c r="B202">
        <f t="shared" si="6"/>
        <v>1</v>
      </c>
      <c r="C202">
        <f t="shared" si="7"/>
        <v>5</v>
      </c>
    </row>
    <row r="203" spans="2:3" ht="12.75">
      <c r="B203">
        <f t="shared" si="6"/>
        <v>1</v>
      </c>
      <c r="C203">
        <f t="shared" si="7"/>
        <v>5</v>
      </c>
    </row>
    <row r="204" spans="2:3" ht="12.75">
      <c r="B204">
        <f t="shared" si="6"/>
        <v>1</v>
      </c>
      <c r="C204">
        <f t="shared" si="7"/>
        <v>5</v>
      </c>
    </row>
    <row r="205" spans="2:3" ht="12.75">
      <c r="B205">
        <f t="shared" si="6"/>
        <v>1</v>
      </c>
      <c r="C205">
        <f t="shared" si="7"/>
        <v>5</v>
      </c>
    </row>
    <row r="206" spans="2:3" ht="12.75">
      <c r="B206">
        <f t="shared" si="6"/>
        <v>1</v>
      </c>
      <c r="C206">
        <f t="shared" si="7"/>
        <v>5</v>
      </c>
    </row>
    <row r="207" spans="2:3" ht="12.75">
      <c r="B207">
        <f t="shared" si="6"/>
        <v>1</v>
      </c>
      <c r="C207">
        <f t="shared" si="7"/>
        <v>5</v>
      </c>
    </row>
    <row r="208" spans="2:3" ht="12.75">
      <c r="B208">
        <f t="shared" si="6"/>
        <v>1</v>
      </c>
      <c r="C208">
        <f t="shared" si="7"/>
        <v>5</v>
      </c>
    </row>
    <row r="209" spans="2:3" ht="12.75">
      <c r="B209">
        <f t="shared" si="6"/>
        <v>1</v>
      </c>
      <c r="C209">
        <f t="shared" si="7"/>
        <v>5</v>
      </c>
    </row>
    <row r="210" spans="2:3" ht="12.75">
      <c r="B210">
        <f t="shared" si="6"/>
        <v>1</v>
      </c>
      <c r="C210">
        <f t="shared" si="7"/>
        <v>5</v>
      </c>
    </row>
    <row r="211" spans="2:3" ht="12.75">
      <c r="B211">
        <f t="shared" si="6"/>
        <v>1</v>
      </c>
      <c r="C211">
        <f t="shared" si="7"/>
        <v>5</v>
      </c>
    </row>
    <row r="212" spans="2:3" ht="12.75">
      <c r="B212">
        <f t="shared" si="6"/>
        <v>1</v>
      </c>
      <c r="C212">
        <f t="shared" si="7"/>
        <v>5</v>
      </c>
    </row>
    <row r="213" spans="2:3" ht="12.75">
      <c r="B213">
        <f t="shared" si="6"/>
        <v>1</v>
      </c>
      <c r="C213">
        <f t="shared" si="7"/>
        <v>5</v>
      </c>
    </row>
    <row r="214" spans="2:3" ht="12.75">
      <c r="B214">
        <f t="shared" si="6"/>
        <v>1</v>
      </c>
      <c r="C214">
        <f t="shared" si="7"/>
        <v>5</v>
      </c>
    </row>
    <row r="215" spans="2:3" ht="12.75">
      <c r="B215">
        <f t="shared" si="6"/>
        <v>1</v>
      </c>
      <c r="C215">
        <f t="shared" si="7"/>
        <v>5</v>
      </c>
    </row>
    <row r="216" spans="2:3" ht="12.75">
      <c r="B216">
        <f t="shared" si="6"/>
        <v>1</v>
      </c>
      <c r="C216">
        <f t="shared" si="7"/>
        <v>5</v>
      </c>
    </row>
    <row r="217" spans="2:3" ht="12.75">
      <c r="B217">
        <f t="shared" si="6"/>
        <v>1</v>
      </c>
      <c r="C217">
        <f t="shared" si="7"/>
        <v>5</v>
      </c>
    </row>
    <row r="218" spans="2:3" ht="12.75">
      <c r="B218">
        <f t="shared" si="6"/>
        <v>1</v>
      </c>
      <c r="C218">
        <f t="shared" si="7"/>
        <v>5</v>
      </c>
    </row>
    <row r="219" spans="2:3" ht="12.75">
      <c r="B219">
        <f t="shared" si="6"/>
        <v>1</v>
      </c>
      <c r="C219">
        <f t="shared" si="7"/>
        <v>5</v>
      </c>
    </row>
    <row r="220" spans="1:6" ht="12.75">
      <c r="A220" t="s">
        <v>255</v>
      </c>
      <c r="B220">
        <f>SUM(B2:B219)</f>
        <v>218</v>
      </c>
      <c r="C220">
        <f>SUM(C2:C219)</f>
        <v>1090</v>
      </c>
      <c r="E220">
        <f>DEVSQ(B2:C219)</f>
        <v>1744</v>
      </c>
      <c r="F220">
        <f>E220/436</f>
        <v>4</v>
      </c>
    </row>
    <row r="221" spans="1:3" ht="12.75">
      <c r="A221" t="s">
        <v>13</v>
      </c>
      <c r="C221">
        <f>AVERAGE(B2:C219)</f>
        <v>3</v>
      </c>
    </row>
    <row r="222" spans="1:2" ht="12.75">
      <c r="A222" t="s">
        <v>202</v>
      </c>
      <c r="B222">
        <f>COUNTA(B2:C219)</f>
        <v>436</v>
      </c>
    </row>
    <row r="223" spans="1:4" ht="12.75">
      <c r="A223" t="s">
        <v>256</v>
      </c>
      <c r="C223">
        <f>2^2*B222/(B222-1)</f>
        <v>4.00919540229885</v>
      </c>
      <c r="D223">
        <f>2^2*C222/(C222-1)</f>
        <v>0</v>
      </c>
    </row>
    <row r="224" spans="1:2" ht="12.75">
      <c r="A224" t="s">
        <v>438</v>
      </c>
      <c r="B224">
        <v>193</v>
      </c>
    </row>
  </sheetData>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N363"/>
  <sheetViews>
    <sheetView workbookViewId="0" topLeftCell="A11">
      <selection activeCell="A17" sqref="A17"/>
    </sheetView>
  </sheetViews>
  <sheetFormatPr defaultColWidth="11.421875" defaultRowHeight="12.75"/>
  <cols>
    <col min="1" max="1" width="33.00390625" style="0" customWidth="1"/>
  </cols>
  <sheetData>
    <row r="1" spans="1:13" ht="12.75">
      <c r="A1" s="7" t="s">
        <v>471</v>
      </c>
      <c r="B1" t="s">
        <v>368</v>
      </c>
      <c r="C1" t="s">
        <v>369</v>
      </c>
      <c r="D1" t="s">
        <v>384</v>
      </c>
      <c r="F1" t="s">
        <v>402</v>
      </c>
      <c r="H1" s="7" t="s">
        <v>472</v>
      </c>
      <c r="I1" t="s">
        <v>368</v>
      </c>
      <c r="J1" t="s">
        <v>369</v>
      </c>
      <c r="K1" t="s">
        <v>384</v>
      </c>
      <c r="M1" t="s">
        <v>402</v>
      </c>
    </row>
    <row r="2" spans="2:13" ht="12.75">
      <c r="B2">
        <v>2</v>
      </c>
      <c r="C2">
        <v>3</v>
      </c>
      <c r="D2">
        <f>(B2-$B$304)^2</f>
        <v>5.5867768595041305</v>
      </c>
      <c r="E2">
        <f>(C2-$C$304)^2</f>
        <v>1.6276793398946046</v>
      </c>
      <c r="F2">
        <f>B2-C2</f>
        <v>-1</v>
      </c>
      <c r="I2">
        <v>4</v>
      </c>
      <c r="J2">
        <v>3.33</v>
      </c>
      <c r="K2">
        <f>(I2-$B$304)^2</f>
        <v>0.13223140495867744</v>
      </c>
      <c r="L2">
        <f>(J2-$C$304)^2</f>
        <v>0.894547796270442</v>
      </c>
      <c r="M2">
        <f aca="true" t="shared" si="0" ref="M2:M28">I2-J2</f>
        <v>0.6699999999999999</v>
      </c>
    </row>
    <row r="3" spans="2:13" ht="12.75">
      <c r="B3">
        <v>5</v>
      </c>
      <c r="C3">
        <v>4.43</v>
      </c>
      <c r="D3">
        <f aca="true" t="shared" si="1" ref="D3:D66">(B3-$B$304)^2</f>
        <v>0.40495867768595084</v>
      </c>
      <c r="E3">
        <f aca="true" t="shared" si="2" ref="E3:E66">(C3-$C$304)^2</f>
        <v>0.02377598418990063</v>
      </c>
      <c r="F3">
        <f aca="true" t="shared" si="3" ref="F3:F66">B3-C3</f>
        <v>0.5700000000000003</v>
      </c>
      <c r="I3">
        <v>3</v>
      </c>
      <c r="J3">
        <v>2.94</v>
      </c>
      <c r="K3">
        <f aca="true" t="shared" si="4" ref="K3:K66">(I3-$B$304)^2</f>
        <v>1.859504132231404</v>
      </c>
      <c r="L3">
        <f aca="true" t="shared" si="5" ref="L3:L66">(J3-$C$304)^2</f>
        <v>1.784375984189907</v>
      </c>
      <c r="M3">
        <f t="shared" si="0"/>
        <v>0.06000000000000005</v>
      </c>
    </row>
    <row r="4" spans="2:13" ht="12.75">
      <c r="B4">
        <v>5</v>
      </c>
      <c r="C4">
        <v>5</v>
      </c>
      <c r="D4">
        <f t="shared" si="1"/>
        <v>0.40495867768595084</v>
      </c>
      <c r="E4">
        <f t="shared" si="2"/>
        <v>0.5244578633845293</v>
      </c>
      <c r="F4">
        <f t="shared" si="3"/>
        <v>0</v>
      </c>
      <c r="I4">
        <v>4</v>
      </c>
      <c r="J4">
        <v>4.11</v>
      </c>
      <c r="K4">
        <f t="shared" si="4"/>
        <v>0.13223140495867744</v>
      </c>
      <c r="L4">
        <f t="shared" si="5"/>
        <v>0.027491420431512675</v>
      </c>
      <c r="M4">
        <f t="shared" si="0"/>
        <v>-0.11000000000000032</v>
      </c>
    </row>
    <row r="5" spans="2:13" ht="12.75">
      <c r="B5">
        <v>4</v>
      </c>
      <c r="C5">
        <v>4.86</v>
      </c>
      <c r="D5">
        <f t="shared" si="1"/>
        <v>0.13223140495867744</v>
      </c>
      <c r="E5">
        <f t="shared" si="2"/>
        <v>0.3412833667402349</v>
      </c>
      <c r="F5">
        <f t="shared" si="3"/>
        <v>-0.8600000000000003</v>
      </c>
      <c r="I5">
        <v>4</v>
      </c>
      <c r="J5">
        <v>3.94</v>
      </c>
      <c r="K5">
        <f t="shared" si="4"/>
        <v>0.13223140495867744</v>
      </c>
      <c r="L5">
        <f t="shared" si="5"/>
        <v>0.11276524593486922</v>
      </c>
      <c r="M5">
        <f t="shared" si="0"/>
        <v>0.06000000000000005</v>
      </c>
    </row>
    <row r="6" spans="2:13" ht="12.75">
      <c r="B6">
        <v>5</v>
      </c>
      <c r="C6">
        <v>4.43</v>
      </c>
      <c r="D6">
        <f t="shared" si="1"/>
        <v>0.40495867768595084</v>
      </c>
      <c r="E6">
        <f t="shared" si="2"/>
        <v>0.02377598418990063</v>
      </c>
      <c r="F6">
        <f t="shared" si="3"/>
        <v>0.5700000000000003</v>
      </c>
      <c r="I6">
        <v>3</v>
      </c>
      <c r="J6">
        <v>3.44</v>
      </c>
      <c r="K6">
        <f t="shared" si="4"/>
        <v>1.859504132231404</v>
      </c>
      <c r="L6">
        <f t="shared" si="5"/>
        <v>0.6985706150623882</v>
      </c>
      <c r="M6">
        <f t="shared" si="0"/>
        <v>-0.43999999999999995</v>
      </c>
    </row>
    <row r="7" spans="2:13" ht="12.75">
      <c r="B7">
        <v>5</v>
      </c>
      <c r="C7">
        <v>4.57</v>
      </c>
      <c r="D7">
        <f t="shared" si="1"/>
        <v>0.40495867768595084</v>
      </c>
      <c r="E7">
        <f t="shared" si="2"/>
        <v>0.0865504808341956</v>
      </c>
      <c r="F7">
        <f t="shared" si="3"/>
        <v>0.4299999999999997</v>
      </c>
      <c r="I7">
        <v>4</v>
      </c>
      <c r="J7">
        <v>3.36</v>
      </c>
      <c r="K7">
        <f t="shared" si="4"/>
        <v>0.13223140495867744</v>
      </c>
      <c r="L7">
        <f t="shared" si="5"/>
        <v>0.8386994741227913</v>
      </c>
      <c r="M7">
        <f t="shared" si="0"/>
        <v>0.6400000000000001</v>
      </c>
    </row>
    <row r="8" spans="2:13" ht="12.75">
      <c r="B8">
        <v>4</v>
      </c>
      <c r="C8">
        <v>3.86</v>
      </c>
      <c r="D8">
        <f t="shared" si="1"/>
        <v>0.13223140495867744</v>
      </c>
      <c r="E8">
        <f t="shared" si="2"/>
        <v>0.1728941049952723</v>
      </c>
      <c r="F8">
        <f t="shared" si="3"/>
        <v>0.14000000000000012</v>
      </c>
      <c r="I8">
        <v>3</v>
      </c>
      <c r="J8">
        <v>3.53</v>
      </c>
      <c r="K8">
        <f t="shared" si="4"/>
        <v>1.859504132231404</v>
      </c>
      <c r="L8">
        <f t="shared" si="5"/>
        <v>0.5562256486194349</v>
      </c>
      <c r="M8">
        <f t="shared" si="0"/>
        <v>-0.5299999999999998</v>
      </c>
    </row>
    <row r="9" spans="2:13" ht="12.75">
      <c r="B9">
        <v>3</v>
      </c>
      <c r="C9">
        <v>3.25</v>
      </c>
      <c r="D9">
        <f t="shared" si="1"/>
        <v>1.859504132231404</v>
      </c>
      <c r="E9">
        <f t="shared" si="2"/>
        <v>1.0522766553308451</v>
      </c>
      <c r="F9">
        <f t="shared" si="3"/>
        <v>-0.25</v>
      </c>
      <c r="I9">
        <v>3</v>
      </c>
      <c r="J9">
        <v>3.56</v>
      </c>
      <c r="K9">
        <f t="shared" si="4"/>
        <v>1.859504132231404</v>
      </c>
      <c r="L9">
        <f t="shared" si="5"/>
        <v>0.5123773264717835</v>
      </c>
      <c r="M9">
        <f t="shared" si="0"/>
        <v>-0.56</v>
      </c>
    </row>
    <row r="10" spans="2:13" ht="12.75">
      <c r="B10">
        <v>4</v>
      </c>
      <c r="C10">
        <v>4.14</v>
      </c>
      <c r="D10">
        <f t="shared" si="1"/>
        <v>0.13223140495867744</v>
      </c>
      <c r="E10">
        <f t="shared" si="2"/>
        <v>0.018443098283861738</v>
      </c>
      <c r="F10">
        <f t="shared" si="3"/>
        <v>-0.13999999999999968</v>
      </c>
      <c r="I10">
        <v>4</v>
      </c>
      <c r="J10">
        <v>3.89</v>
      </c>
      <c r="K10">
        <f t="shared" si="4"/>
        <v>0.13223140495867744</v>
      </c>
      <c r="L10">
        <f t="shared" si="5"/>
        <v>0.14884578284762098</v>
      </c>
      <c r="M10">
        <f t="shared" si="0"/>
        <v>0.10999999999999988</v>
      </c>
    </row>
    <row r="11" spans="2:13" ht="12.75">
      <c r="B11">
        <v>5</v>
      </c>
      <c r="C11">
        <v>5</v>
      </c>
      <c r="D11">
        <f t="shared" si="1"/>
        <v>0.40495867768595084</v>
      </c>
      <c r="E11">
        <f t="shared" si="2"/>
        <v>0.5244578633845293</v>
      </c>
      <c r="F11">
        <f t="shared" si="3"/>
        <v>0</v>
      </c>
      <c r="I11">
        <v>3</v>
      </c>
      <c r="J11">
        <v>3.47</v>
      </c>
      <c r="K11">
        <f t="shared" si="4"/>
        <v>1.859504132231404</v>
      </c>
      <c r="L11">
        <f t="shared" si="5"/>
        <v>0.6493222929147366</v>
      </c>
      <c r="M11">
        <f t="shared" si="0"/>
        <v>-0.4700000000000002</v>
      </c>
    </row>
    <row r="12" spans="2:13" ht="12.75">
      <c r="B12">
        <v>3</v>
      </c>
      <c r="C12">
        <v>3.29</v>
      </c>
      <c r="D12">
        <f t="shared" si="1"/>
        <v>1.859504132231404</v>
      </c>
      <c r="E12">
        <f t="shared" si="2"/>
        <v>0.9718122258006436</v>
      </c>
      <c r="F12">
        <f t="shared" si="3"/>
        <v>-0.29000000000000004</v>
      </c>
      <c r="I12">
        <v>4</v>
      </c>
      <c r="J12">
        <v>3.78</v>
      </c>
      <c r="K12">
        <f t="shared" si="4"/>
        <v>0.13223140495867744</v>
      </c>
      <c r="L12">
        <f t="shared" si="5"/>
        <v>0.2458229640556754</v>
      </c>
      <c r="M12">
        <f t="shared" si="0"/>
        <v>0.2200000000000002</v>
      </c>
    </row>
    <row r="13" spans="2:13" ht="12.75">
      <c r="B13">
        <v>5</v>
      </c>
      <c r="C13">
        <v>4.86</v>
      </c>
      <c r="D13">
        <f t="shared" si="1"/>
        <v>0.40495867768595084</v>
      </c>
      <c r="E13">
        <f t="shared" si="2"/>
        <v>0.3412833667402349</v>
      </c>
      <c r="F13">
        <f t="shared" si="3"/>
        <v>0.13999999999999968</v>
      </c>
      <c r="I13">
        <v>3</v>
      </c>
      <c r="J13">
        <v>3.06</v>
      </c>
      <c r="K13">
        <f t="shared" si="4"/>
        <v>1.859504132231404</v>
      </c>
      <c r="L13">
        <f t="shared" si="5"/>
        <v>1.4781826955993023</v>
      </c>
      <c r="M13">
        <f t="shared" si="0"/>
        <v>-0.06000000000000005</v>
      </c>
    </row>
    <row r="14" spans="2:13" ht="12.75">
      <c r="B14">
        <v>3</v>
      </c>
      <c r="C14">
        <v>3.83</v>
      </c>
      <c r="D14">
        <f t="shared" si="1"/>
        <v>1.859504132231404</v>
      </c>
      <c r="E14">
        <f t="shared" si="2"/>
        <v>0.19874242714292328</v>
      </c>
      <c r="F14">
        <f t="shared" si="3"/>
        <v>-0.8300000000000001</v>
      </c>
      <c r="I14">
        <v>5</v>
      </c>
      <c r="J14">
        <v>4.53</v>
      </c>
      <c r="K14">
        <f t="shared" si="4"/>
        <v>0.40495867768595084</v>
      </c>
      <c r="L14">
        <f t="shared" si="5"/>
        <v>0.06461491036439708</v>
      </c>
      <c r="M14">
        <f t="shared" si="0"/>
        <v>0.46999999999999975</v>
      </c>
    </row>
    <row r="15" spans="1:13" ht="12.75">
      <c r="A15">
        <f>SKEW(B2:B303)</f>
        <v>-0.9010719043209948</v>
      </c>
      <c r="B15">
        <v>4</v>
      </c>
      <c r="C15">
        <v>4.43</v>
      </c>
      <c r="D15">
        <f t="shared" si="1"/>
        <v>0.13223140495867744</v>
      </c>
      <c r="E15">
        <f t="shared" si="2"/>
        <v>0.02377598418990063</v>
      </c>
      <c r="F15">
        <f t="shared" si="3"/>
        <v>-0.4299999999999997</v>
      </c>
      <c r="I15">
        <v>2</v>
      </c>
      <c r="J15">
        <v>2.58</v>
      </c>
      <c r="K15">
        <f t="shared" si="4"/>
        <v>5.5867768595041305</v>
      </c>
      <c r="L15">
        <f t="shared" si="5"/>
        <v>2.8757558499617204</v>
      </c>
      <c r="M15">
        <f t="shared" si="0"/>
        <v>-0.5800000000000001</v>
      </c>
    </row>
    <row r="16" spans="2:13" ht="12.75">
      <c r="B16">
        <v>5</v>
      </c>
      <c r="C16">
        <v>4.86</v>
      </c>
      <c r="D16">
        <f t="shared" si="1"/>
        <v>0.40495867768595084</v>
      </c>
      <c r="E16">
        <f t="shared" si="2"/>
        <v>0.3412833667402349</v>
      </c>
      <c r="F16">
        <f t="shared" si="3"/>
        <v>0.13999999999999968</v>
      </c>
      <c r="I16">
        <v>2</v>
      </c>
      <c r="J16">
        <v>2.75</v>
      </c>
      <c r="K16">
        <f t="shared" si="4"/>
        <v>5.5867768595041305</v>
      </c>
      <c r="L16">
        <f t="shared" si="5"/>
        <v>2.328082024458364</v>
      </c>
      <c r="M16">
        <f t="shared" si="0"/>
        <v>-0.75</v>
      </c>
    </row>
    <row r="17" spans="1:13" ht="12.75">
      <c r="A17">
        <f>KURT(B2:B303)</f>
        <v>0.04272414821082782</v>
      </c>
      <c r="B17">
        <v>5</v>
      </c>
      <c r="C17">
        <v>5</v>
      </c>
      <c r="D17">
        <f t="shared" si="1"/>
        <v>0.40495867768595084</v>
      </c>
      <c r="E17">
        <f t="shared" si="2"/>
        <v>0.5244578633845293</v>
      </c>
      <c r="F17">
        <f t="shared" si="3"/>
        <v>0</v>
      </c>
      <c r="I17">
        <v>4</v>
      </c>
      <c r="J17">
        <v>3.53</v>
      </c>
      <c r="K17">
        <f t="shared" si="4"/>
        <v>0.13223140495867744</v>
      </c>
      <c r="L17">
        <f t="shared" si="5"/>
        <v>0.5562256486194349</v>
      </c>
      <c r="M17">
        <f t="shared" si="0"/>
        <v>0.4700000000000002</v>
      </c>
    </row>
    <row r="18" spans="2:13" ht="12.75">
      <c r="B18">
        <v>4</v>
      </c>
      <c r="C18">
        <v>4</v>
      </c>
      <c r="D18">
        <f t="shared" si="1"/>
        <v>0.13223140495867744</v>
      </c>
      <c r="E18">
        <f t="shared" si="2"/>
        <v>0.07606860163956693</v>
      </c>
      <c r="F18">
        <f t="shared" si="3"/>
        <v>0</v>
      </c>
      <c r="I18">
        <v>4</v>
      </c>
      <c r="J18">
        <v>4.11</v>
      </c>
      <c r="K18">
        <f t="shared" si="4"/>
        <v>0.13223140495867744</v>
      </c>
      <c r="L18">
        <f t="shared" si="5"/>
        <v>0.027491420431512675</v>
      </c>
      <c r="M18">
        <f t="shared" si="0"/>
        <v>-0.11000000000000032</v>
      </c>
    </row>
    <row r="19" spans="2:13" ht="12.75">
      <c r="B19">
        <v>4</v>
      </c>
      <c r="C19">
        <v>3.29</v>
      </c>
      <c r="D19">
        <f t="shared" si="1"/>
        <v>0.13223140495867744</v>
      </c>
      <c r="E19">
        <f t="shared" si="2"/>
        <v>0.9718122258006436</v>
      </c>
      <c r="F19">
        <f t="shared" si="3"/>
        <v>0.71</v>
      </c>
      <c r="I19">
        <v>5</v>
      </c>
      <c r="J19">
        <v>3.78</v>
      </c>
      <c r="K19">
        <f t="shared" si="4"/>
        <v>0.40495867768595084</v>
      </c>
      <c r="L19">
        <f t="shared" si="5"/>
        <v>0.2458229640556754</v>
      </c>
      <c r="M19">
        <f t="shared" si="0"/>
        <v>1.2200000000000002</v>
      </c>
    </row>
    <row r="20" spans="2:13" ht="12.75">
      <c r="B20">
        <v>4</v>
      </c>
      <c r="C20">
        <v>4</v>
      </c>
      <c r="D20">
        <f t="shared" si="1"/>
        <v>0.13223140495867744</v>
      </c>
      <c r="E20">
        <f t="shared" si="2"/>
        <v>0.07606860163956693</v>
      </c>
      <c r="F20">
        <f t="shared" si="3"/>
        <v>0</v>
      </c>
      <c r="I20">
        <v>3</v>
      </c>
      <c r="J20">
        <v>3.64</v>
      </c>
      <c r="K20">
        <f t="shared" si="4"/>
        <v>1.859504132231404</v>
      </c>
      <c r="L20">
        <f t="shared" si="5"/>
        <v>0.4042484674113803</v>
      </c>
      <c r="M20">
        <f t="shared" si="0"/>
        <v>-0.6400000000000001</v>
      </c>
    </row>
    <row r="21" spans="2:13" ht="12.75">
      <c r="B21">
        <v>5</v>
      </c>
      <c r="C21">
        <v>3.67</v>
      </c>
      <c r="D21">
        <f t="shared" si="1"/>
        <v>0.40495867768595084</v>
      </c>
      <c r="E21">
        <f t="shared" si="2"/>
        <v>0.3670001452637295</v>
      </c>
      <c r="F21">
        <f t="shared" si="3"/>
        <v>1.33</v>
      </c>
      <c r="I21">
        <v>4</v>
      </c>
      <c r="J21">
        <v>3.97</v>
      </c>
      <c r="K21">
        <f t="shared" si="4"/>
        <v>0.13223140495867744</v>
      </c>
      <c r="L21">
        <f t="shared" si="5"/>
        <v>0.09351692378721795</v>
      </c>
      <c r="M21">
        <f t="shared" si="0"/>
        <v>0.029999999999999805</v>
      </c>
    </row>
    <row r="22" spans="2:13" ht="12.75">
      <c r="B22">
        <v>5</v>
      </c>
      <c r="C22">
        <v>4.43</v>
      </c>
      <c r="D22">
        <f t="shared" si="1"/>
        <v>0.40495867768595084</v>
      </c>
      <c r="E22">
        <f t="shared" si="2"/>
        <v>0.02377598418990063</v>
      </c>
      <c r="F22">
        <f t="shared" si="3"/>
        <v>0.5700000000000003</v>
      </c>
      <c r="I22">
        <v>4</v>
      </c>
      <c r="J22">
        <v>4.11</v>
      </c>
      <c r="K22">
        <f t="shared" si="4"/>
        <v>0.13223140495867744</v>
      </c>
      <c r="L22">
        <f t="shared" si="5"/>
        <v>0.027491420431512675</v>
      </c>
      <c r="M22">
        <f t="shared" si="0"/>
        <v>-0.11000000000000032</v>
      </c>
    </row>
    <row r="23" spans="2:13" ht="12.75">
      <c r="B23">
        <v>4</v>
      </c>
      <c r="C23">
        <v>3.67</v>
      </c>
      <c r="D23">
        <f t="shared" si="1"/>
        <v>0.13223140495867744</v>
      </c>
      <c r="E23">
        <f t="shared" si="2"/>
        <v>0.3670001452637295</v>
      </c>
      <c r="F23">
        <f t="shared" si="3"/>
        <v>0.33000000000000007</v>
      </c>
      <c r="I23">
        <v>4</v>
      </c>
      <c r="J23">
        <v>4.28</v>
      </c>
      <c r="K23">
        <f t="shared" si="4"/>
        <v>0.13223140495867744</v>
      </c>
      <c r="L23">
        <f t="shared" si="5"/>
        <v>1.759492815637405E-05</v>
      </c>
      <c r="M23">
        <f t="shared" si="0"/>
        <v>-0.28000000000000025</v>
      </c>
    </row>
    <row r="24" spans="2:13" ht="12.75">
      <c r="B24">
        <v>5</v>
      </c>
      <c r="C24">
        <v>4.71</v>
      </c>
      <c r="D24">
        <f t="shared" si="1"/>
        <v>0.40495867768595084</v>
      </c>
      <c r="E24">
        <f t="shared" si="2"/>
        <v>0.18852497747849012</v>
      </c>
      <c r="F24">
        <f t="shared" si="3"/>
        <v>0.29000000000000004</v>
      </c>
      <c r="I24">
        <v>4</v>
      </c>
      <c r="J24">
        <v>3.78</v>
      </c>
      <c r="K24">
        <f t="shared" si="4"/>
        <v>0.13223140495867744</v>
      </c>
      <c r="L24">
        <f t="shared" si="5"/>
        <v>0.2458229640556754</v>
      </c>
      <c r="M24">
        <f t="shared" si="0"/>
        <v>0.2200000000000002</v>
      </c>
    </row>
    <row r="25" spans="2:13" ht="12.75">
      <c r="B25">
        <v>5</v>
      </c>
      <c r="C25">
        <v>4.71</v>
      </c>
      <c r="D25">
        <f t="shared" si="1"/>
        <v>0.40495867768595084</v>
      </c>
      <c r="E25">
        <f t="shared" si="2"/>
        <v>0.18852497747849012</v>
      </c>
      <c r="F25">
        <f t="shared" si="3"/>
        <v>0.29000000000000004</v>
      </c>
      <c r="I25">
        <v>4</v>
      </c>
      <c r="J25">
        <v>3.14</v>
      </c>
      <c r="K25">
        <f t="shared" si="4"/>
        <v>0.13223140495867744</v>
      </c>
      <c r="L25">
        <f t="shared" si="5"/>
        <v>1.2900538365388992</v>
      </c>
      <c r="M25">
        <f t="shared" si="0"/>
        <v>0.8599999999999999</v>
      </c>
    </row>
    <row r="26" spans="2:13" ht="12.75">
      <c r="B26">
        <v>4</v>
      </c>
      <c r="C26">
        <v>3.71</v>
      </c>
      <c r="D26">
        <f t="shared" si="1"/>
        <v>0.13223140495867744</v>
      </c>
      <c r="E26">
        <f t="shared" si="2"/>
        <v>0.3201357157335279</v>
      </c>
      <c r="F26">
        <f t="shared" si="3"/>
        <v>0.29000000000000004</v>
      </c>
      <c r="I26">
        <v>4</v>
      </c>
      <c r="J26">
        <v>3.72</v>
      </c>
      <c r="K26">
        <f t="shared" si="4"/>
        <v>0.13223140495867744</v>
      </c>
      <c r="L26">
        <f t="shared" si="5"/>
        <v>0.30891960835097726</v>
      </c>
      <c r="M26">
        <f t="shared" si="0"/>
        <v>0.2799999999999998</v>
      </c>
    </row>
    <row r="27" spans="2:13" ht="12.75">
      <c r="B27">
        <v>3</v>
      </c>
      <c r="C27">
        <v>2.14</v>
      </c>
      <c r="D27">
        <f t="shared" si="1"/>
        <v>1.859504132231404</v>
      </c>
      <c r="E27">
        <f t="shared" si="2"/>
        <v>4.561664574793936</v>
      </c>
      <c r="F27">
        <f t="shared" si="3"/>
        <v>0.8599999999999999</v>
      </c>
      <c r="I27">
        <v>3</v>
      </c>
      <c r="J27">
        <v>2.53</v>
      </c>
      <c r="K27">
        <f t="shared" si="4"/>
        <v>1.859504132231404</v>
      </c>
      <c r="L27">
        <f t="shared" si="5"/>
        <v>3.047836386874473</v>
      </c>
      <c r="M27">
        <f t="shared" si="0"/>
        <v>0.4700000000000002</v>
      </c>
    </row>
    <row r="28" spans="2:13" ht="12.75">
      <c r="B28">
        <v>3</v>
      </c>
      <c r="C28">
        <v>2.57</v>
      </c>
      <c r="D28">
        <f t="shared" si="1"/>
        <v>1.859504132231404</v>
      </c>
      <c r="E28">
        <f t="shared" si="2"/>
        <v>2.9097719573442715</v>
      </c>
      <c r="F28">
        <f t="shared" si="3"/>
        <v>0.43000000000000016</v>
      </c>
      <c r="I28">
        <v>3</v>
      </c>
      <c r="J28">
        <v>2.64</v>
      </c>
      <c r="K28">
        <f t="shared" si="4"/>
        <v>1.859504132231404</v>
      </c>
      <c r="L28">
        <f t="shared" si="5"/>
        <v>2.6758592056664177</v>
      </c>
      <c r="M28">
        <f t="shared" si="0"/>
        <v>0.3599999999999999</v>
      </c>
    </row>
    <row r="29" spans="2:12" ht="12.75">
      <c r="B29" t="s">
        <v>355</v>
      </c>
      <c r="C29">
        <v>5</v>
      </c>
      <c r="D29" t="e">
        <f t="shared" si="1"/>
        <v>#VALUE!</v>
      </c>
      <c r="E29">
        <f t="shared" si="2"/>
        <v>0.5244578633845293</v>
      </c>
      <c r="I29">
        <v>5</v>
      </c>
      <c r="J29">
        <v>4.36</v>
      </c>
      <c r="K29">
        <f t="shared" si="4"/>
        <v>0.40495867768595084</v>
      </c>
      <c r="L29">
        <f t="shared" si="5"/>
        <v>0.00708873586775341</v>
      </c>
    </row>
    <row r="30" spans="2:13" ht="12.75">
      <c r="B30">
        <v>5</v>
      </c>
      <c r="C30">
        <v>4.14</v>
      </c>
      <c r="D30">
        <f t="shared" si="1"/>
        <v>0.40495867768595084</v>
      </c>
      <c r="E30">
        <f t="shared" si="2"/>
        <v>0.018443098283861738</v>
      </c>
      <c r="F30">
        <f t="shared" si="3"/>
        <v>0.8600000000000003</v>
      </c>
      <c r="I30">
        <v>2</v>
      </c>
      <c r="J30">
        <v>3.31</v>
      </c>
      <c r="K30">
        <f t="shared" si="4"/>
        <v>5.5867768595041305</v>
      </c>
      <c r="L30">
        <f t="shared" si="5"/>
        <v>0.9327800110355429</v>
      </c>
      <c r="M30">
        <f aca="true" t="shared" si="6" ref="M30:M93">I30-J30</f>
        <v>-1.31</v>
      </c>
    </row>
    <row r="31" spans="2:13" ht="12.75">
      <c r="B31">
        <v>5</v>
      </c>
      <c r="C31">
        <v>5</v>
      </c>
      <c r="D31">
        <f t="shared" si="1"/>
        <v>0.40495867768595084</v>
      </c>
      <c r="E31">
        <f t="shared" si="2"/>
        <v>0.5244578633845293</v>
      </c>
      <c r="F31">
        <f t="shared" si="3"/>
        <v>0</v>
      </c>
      <c r="I31">
        <v>4</v>
      </c>
      <c r="J31">
        <v>3.78</v>
      </c>
      <c r="K31">
        <f t="shared" si="4"/>
        <v>0.13223140495867744</v>
      </c>
      <c r="L31">
        <f t="shared" si="5"/>
        <v>0.2458229640556754</v>
      </c>
      <c r="M31">
        <f t="shared" si="6"/>
        <v>0.2200000000000002</v>
      </c>
    </row>
    <row r="32" spans="2:13" ht="12.75">
      <c r="B32">
        <v>3</v>
      </c>
      <c r="C32">
        <v>3.71</v>
      </c>
      <c r="D32">
        <f t="shared" si="1"/>
        <v>1.859504132231404</v>
      </c>
      <c r="E32">
        <f t="shared" si="2"/>
        <v>0.3201357157335279</v>
      </c>
      <c r="F32">
        <f t="shared" si="3"/>
        <v>-0.71</v>
      </c>
      <c r="I32">
        <v>2</v>
      </c>
      <c r="J32">
        <v>2.61</v>
      </c>
      <c r="K32">
        <f t="shared" si="4"/>
        <v>5.5867768595041305</v>
      </c>
      <c r="L32">
        <f t="shared" si="5"/>
        <v>2.7749075278140696</v>
      </c>
      <c r="M32">
        <f t="shared" si="6"/>
        <v>-0.6099999999999999</v>
      </c>
    </row>
    <row r="33" spans="2:13" ht="12.75">
      <c r="B33">
        <v>5</v>
      </c>
      <c r="C33">
        <v>3.86</v>
      </c>
      <c r="D33">
        <f t="shared" si="1"/>
        <v>0.40495867768595084</v>
      </c>
      <c r="E33">
        <f t="shared" si="2"/>
        <v>0.1728941049952723</v>
      </c>
      <c r="F33">
        <f t="shared" si="3"/>
        <v>1.1400000000000001</v>
      </c>
      <c r="I33">
        <v>3</v>
      </c>
      <c r="J33">
        <v>3.03</v>
      </c>
      <c r="K33">
        <f t="shared" si="4"/>
        <v>1.859504132231404</v>
      </c>
      <c r="L33">
        <f t="shared" si="5"/>
        <v>1.552031017746954</v>
      </c>
      <c r="M33">
        <f t="shared" si="6"/>
        <v>-0.029999999999999805</v>
      </c>
    </row>
    <row r="34" spans="2:13" ht="12.75">
      <c r="B34">
        <v>3</v>
      </c>
      <c r="C34">
        <v>3</v>
      </c>
      <c r="D34">
        <f t="shared" si="1"/>
        <v>1.859504132231404</v>
      </c>
      <c r="E34">
        <f t="shared" si="2"/>
        <v>1.6276793398946046</v>
      </c>
      <c r="F34">
        <f t="shared" si="3"/>
        <v>0</v>
      </c>
      <c r="I34">
        <v>5</v>
      </c>
      <c r="J34">
        <v>4.31</v>
      </c>
      <c r="K34">
        <f t="shared" si="4"/>
        <v>0.40495867768595084</v>
      </c>
      <c r="L34">
        <f t="shared" si="5"/>
        <v>0.0011692727805052141</v>
      </c>
      <c r="M34">
        <f t="shared" si="6"/>
        <v>0.6900000000000004</v>
      </c>
    </row>
    <row r="35" spans="2:13" ht="12.75">
      <c r="B35">
        <v>5</v>
      </c>
      <c r="C35">
        <v>5</v>
      </c>
      <c r="D35">
        <f t="shared" si="1"/>
        <v>0.40495867768595084</v>
      </c>
      <c r="E35">
        <f t="shared" si="2"/>
        <v>0.5244578633845293</v>
      </c>
      <c r="F35">
        <f t="shared" si="3"/>
        <v>0</v>
      </c>
      <c r="I35">
        <v>3</v>
      </c>
      <c r="J35">
        <v>3.5</v>
      </c>
      <c r="K35">
        <f t="shared" si="4"/>
        <v>1.859504132231404</v>
      </c>
      <c r="L35">
        <f t="shared" si="5"/>
        <v>0.6018739707670858</v>
      </c>
      <c r="M35">
        <f t="shared" si="6"/>
        <v>-0.5</v>
      </c>
    </row>
    <row r="36" spans="2:13" ht="12.75">
      <c r="B36">
        <v>4</v>
      </c>
      <c r="C36">
        <v>4</v>
      </c>
      <c r="D36">
        <f t="shared" si="1"/>
        <v>0.13223140495867744</v>
      </c>
      <c r="E36">
        <f t="shared" si="2"/>
        <v>0.07606860163956693</v>
      </c>
      <c r="F36">
        <f t="shared" si="3"/>
        <v>0</v>
      </c>
      <c r="I36">
        <v>4</v>
      </c>
      <c r="J36">
        <v>3.53</v>
      </c>
      <c r="K36">
        <f t="shared" si="4"/>
        <v>0.13223140495867744</v>
      </c>
      <c r="L36">
        <f t="shared" si="5"/>
        <v>0.5562256486194349</v>
      </c>
      <c r="M36">
        <f t="shared" si="6"/>
        <v>0.4700000000000002</v>
      </c>
    </row>
    <row r="37" spans="2:13" ht="12.75">
      <c r="B37">
        <v>5</v>
      </c>
      <c r="C37">
        <v>4</v>
      </c>
      <c r="D37">
        <f t="shared" si="1"/>
        <v>0.40495867768595084</v>
      </c>
      <c r="E37">
        <f t="shared" si="2"/>
        <v>0.07606860163956693</v>
      </c>
      <c r="F37">
        <f t="shared" si="3"/>
        <v>1</v>
      </c>
      <c r="I37">
        <v>3</v>
      </c>
      <c r="J37">
        <v>3.11</v>
      </c>
      <c r="K37">
        <f t="shared" si="4"/>
        <v>1.859504132231404</v>
      </c>
      <c r="L37">
        <f t="shared" si="5"/>
        <v>1.3591021586865508</v>
      </c>
      <c r="M37">
        <f t="shared" si="6"/>
        <v>-0.10999999999999988</v>
      </c>
    </row>
    <row r="38" spans="2:13" ht="12.75">
      <c r="B38">
        <v>4</v>
      </c>
      <c r="C38">
        <v>4.71</v>
      </c>
      <c r="D38">
        <f t="shared" si="1"/>
        <v>0.13223140495867744</v>
      </c>
      <c r="E38">
        <f t="shared" si="2"/>
        <v>0.18852497747849012</v>
      </c>
      <c r="F38">
        <f t="shared" si="3"/>
        <v>-0.71</v>
      </c>
      <c r="I38">
        <v>5</v>
      </c>
      <c r="J38">
        <v>4.28</v>
      </c>
      <c r="K38">
        <f t="shared" si="4"/>
        <v>0.40495867768595084</v>
      </c>
      <c r="L38">
        <f t="shared" si="5"/>
        <v>1.759492815637405E-05</v>
      </c>
      <c r="M38">
        <f t="shared" si="6"/>
        <v>0.7199999999999998</v>
      </c>
    </row>
    <row r="39" spans="2:13" ht="12.75">
      <c r="B39">
        <v>5</v>
      </c>
      <c r="C39">
        <v>3.29</v>
      </c>
      <c r="D39">
        <f t="shared" si="1"/>
        <v>0.40495867768595084</v>
      </c>
      <c r="E39">
        <f t="shared" si="2"/>
        <v>0.9718122258006436</v>
      </c>
      <c r="F39">
        <f t="shared" si="3"/>
        <v>1.71</v>
      </c>
      <c r="I39">
        <v>4</v>
      </c>
      <c r="J39">
        <v>3.69</v>
      </c>
      <c r="K39">
        <f t="shared" si="4"/>
        <v>0.13223140495867744</v>
      </c>
      <c r="L39">
        <f t="shared" si="5"/>
        <v>0.3431679304986287</v>
      </c>
      <c r="M39">
        <f t="shared" si="6"/>
        <v>0.31000000000000005</v>
      </c>
    </row>
    <row r="40" spans="2:13" ht="12.75">
      <c r="B40">
        <v>4</v>
      </c>
      <c r="C40">
        <v>4</v>
      </c>
      <c r="D40">
        <f t="shared" si="1"/>
        <v>0.13223140495867744</v>
      </c>
      <c r="E40">
        <f t="shared" si="2"/>
        <v>0.07606860163956693</v>
      </c>
      <c r="F40">
        <f t="shared" si="3"/>
        <v>0</v>
      </c>
      <c r="I40">
        <v>3</v>
      </c>
      <c r="J40">
        <v>3.11</v>
      </c>
      <c r="K40">
        <f t="shared" si="4"/>
        <v>1.859504132231404</v>
      </c>
      <c r="L40">
        <f t="shared" si="5"/>
        <v>1.3591021586865508</v>
      </c>
      <c r="M40">
        <f t="shared" si="6"/>
        <v>-0.10999999999999988</v>
      </c>
    </row>
    <row r="41" spans="2:13" ht="12.75">
      <c r="B41">
        <v>5</v>
      </c>
      <c r="C41">
        <v>3.86</v>
      </c>
      <c r="D41">
        <f t="shared" si="1"/>
        <v>0.40495867768595084</v>
      </c>
      <c r="E41">
        <f t="shared" si="2"/>
        <v>0.1728941049952723</v>
      </c>
      <c r="F41">
        <f t="shared" si="3"/>
        <v>1.1400000000000001</v>
      </c>
      <c r="I41">
        <v>2</v>
      </c>
      <c r="J41">
        <v>2.11</v>
      </c>
      <c r="K41">
        <f t="shared" si="4"/>
        <v>5.5867768595041305</v>
      </c>
      <c r="L41">
        <f t="shared" si="5"/>
        <v>4.690712896941589</v>
      </c>
      <c r="M41">
        <f t="shared" si="6"/>
        <v>-0.10999999999999988</v>
      </c>
    </row>
    <row r="42" spans="2:13" ht="12.75">
      <c r="B42">
        <v>3</v>
      </c>
      <c r="C42">
        <v>2.86</v>
      </c>
      <c r="D42">
        <f t="shared" si="1"/>
        <v>1.859504132231404</v>
      </c>
      <c r="E42">
        <f t="shared" si="2"/>
        <v>2.0045048432503103</v>
      </c>
      <c r="F42">
        <f t="shared" si="3"/>
        <v>0.14000000000000012</v>
      </c>
      <c r="I42">
        <v>3</v>
      </c>
      <c r="J42">
        <v>3.25</v>
      </c>
      <c r="K42">
        <f t="shared" si="4"/>
        <v>1.859504132231404</v>
      </c>
      <c r="L42">
        <f t="shared" si="5"/>
        <v>1.0522766553308451</v>
      </c>
      <c r="M42">
        <f t="shared" si="6"/>
        <v>-0.25</v>
      </c>
    </row>
    <row r="43" spans="2:13" ht="12.75">
      <c r="B43">
        <v>4</v>
      </c>
      <c r="C43">
        <v>4.71</v>
      </c>
      <c r="D43">
        <f t="shared" si="1"/>
        <v>0.13223140495867744</v>
      </c>
      <c r="E43">
        <f t="shared" si="2"/>
        <v>0.18852497747849012</v>
      </c>
      <c r="F43">
        <f t="shared" si="3"/>
        <v>-0.71</v>
      </c>
      <c r="I43">
        <v>3</v>
      </c>
      <c r="J43">
        <v>3.22</v>
      </c>
      <c r="K43">
        <f t="shared" si="4"/>
        <v>1.859504132231404</v>
      </c>
      <c r="L43">
        <f t="shared" si="5"/>
        <v>1.114724977478496</v>
      </c>
      <c r="M43">
        <f t="shared" si="6"/>
        <v>-0.2200000000000002</v>
      </c>
    </row>
    <row r="44" spans="2:13" ht="12.75">
      <c r="B44">
        <v>4</v>
      </c>
      <c r="C44">
        <v>3.29</v>
      </c>
      <c r="D44">
        <f t="shared" si="1"/>
        <v>0.13223140495867744</v>
      </c>
      <c r="E44">
        <f t="shared" si="2"/>
        <v>0.9718122258006436</v>
      </c>
      <c r="F44">
        <f t="shared" si="3"/>
        <v>0.71</v>
      </c>
      <c r="I44">
        <v>2</v>
      </c>
      <c r="J44">
        <v>2.61</v>
      </c>
      <c r="K44">
        <f t="shared" si="4"/>
        <v>5.5867768595041305</v>
      </c>
      <c r="L44">
        <f t="shared" si="5"/>
        <v>2.7749075278140696</v>
      </c>
      <c r="M44">
        <f t="shared" si="6"/>
        <v>-0.6099999999999999</v>
      </c>
    </row>
    <row r="45" spans="2:13" ht="12.75">
      <c r="B45">
        <v>5</v>
      </c>
      <c r="C45">
        <v>3.71</v>
      </c>
      <c r="D45">
        <f t="shared" si="1"/>
        <v>0.40495867768595084</v>
      </c>
      <c r="E45">
        <f t="shared" si="2"/>
        <v>0.3201357157335279</v>
      </c>
      <c r="F45">
        <f t="shared" si="3"/>
        <v>1.29</v>
      </c>
      <c r="I45">
        <v>3</v>
      </c>
      <c r="J45">
        <v>3.14</v>
      </c>
      <c r="K45">
        <f t="shared" si="4"/>
        <v>1.859504132231404</v>
      </c>
      <c r="L45">
        <f t="shared" si="5"/>
        <v>1.2900538365388992</v>
      </c>
      <c r="M45">
        <f t="shared" si="6"/>
        <v>-0.14000000000000012</v>
      </c>
    </row>
    <row r="46" spans="2:13" ht="12.75">
      <c r="B46">
        <v>4</v>
      </c>
      <c r="C46">
        <v>4.14</v>
      </c>
      <c r="D46">
        <f t="shared" si="1"/>
        <v>0.13223140495867744</v>
      </c>
      <c r="E46">
        <f t="shared" si="2"/>
        <v>0.018443098283861738</v>
      </c>
      <c r="F46">
        <f t="shared" si="3"/>
        <v>-0.13999999999999968</v>
      </c>
      <c r="I46">
        <v>3</v>
      </c>
      <c r="J46">
        <v>3.06</v>
      </c>
      <c r="K46">
        <f t="shared" si="4"/>
        <v>1.859504132231404</v>
      </c>
      <c r="L46">
        <f t="shared" si="5"/>
        <v>1.4781826955993023</v>
      </c>
      <c r="M46">
        <f t="shared" si="6"/>
        <v>-0.06000000000000005</v>
      </c>
    </row>
    <row r="47" spans="2:13" ht="12.75">
      <c r="B47">
        <v>4</v>
      </c>
      <c r="C47">
        <v>1.75</v>
      </c>
      <c r="D47">
        <f t="shared" si="1"/>
        <v>0.13223140495867744</v>
      </c>
      <c r="E47">
        <f t="shared" si="2"/>
        <v>6.379692762713402</v>
      </c>
      <c r="F47">
        <f t="shared" si="3"/>
        <v>2.25</v>
      </c>
      <c r="I47">
        <v>4</v>
      </c>
      <c r="J47">
        <v>4.11</v>
      </c>
      <c r="K47">
        <f t="shared" si="4"/>
        <v>0.13223140495867744</v>
      </c>
      <c r="L47">
        <f t="shared" si="5"/>
        <v>0.027491420431512675</v>
      </c>
      <c r="M47">
        <f t="shared" si="6"/>
        <v>-0.11000000000000032</v>
      </c>
    </row>
    <row r="48" spans="2:13" ht="12.75">
      <c r="B48">
        <v>5</v>
      </c>
      <c r="C48">
        <v>4.43</v>
      </c>
      <c r="D48">
        <f t="shared" si="1"/>
        <v>0.40495867768595084</v>
      </c>
      <c r="E48">
        <f t="shared" si="2"/>
        <v>0.02377598418990063</v>
      </c>
      <c r="F48">
        <f t="shared" si="3"/>
        <v>0.5700000000000003</v>
      </c>
      <c r="I48">
        <v>3</v>
      </c>
      <c r="J48">
        <v>2.81</v>
      </c>
      <c r="K48">
        <f t="shared" si="4"/>
        <v>1.859504132231404</v>
      </c>
      <c r="L48">
        <f t="shared" si="5"/>
        <v>2.1485853801630617</v>
      </c>
      <c r="M48">
        <f t="shared" si="6"/>
        <v>0.18999999999999995</v>
      </c>
    </row>
    <row r="49" spans="2:13" ht="12.75">
      <c r="B49">
        <v>4</v>
      </c>
      <c r="C49">
        <v>4.43</v>
      </c>
      <c r="D49">
        <f t="shared" si="1"/>
        <v>0.13223140495867744</v>
      </c>
      <c r="E49">
        <f t="shared" si="2"/>
        <v>0.02377598418990063</v>
      </c>
      <c r="F49">
        <f t="shared" si="3"/>
        <v>-0.4299999999999997</v>
      </c>
      <c r="I49">
        <v>4</v>
      </c>
      <c r="J49">
        <v>3.92</v>
      </c>
      <c r="K49">
        <f t="shared" si="4"/>
        <v>0.13223140495867744</v>
      </c>
      <c r="L49">
        <f t="shared" si="5"/>
        <v>0.12659746069997</v>
      </c>
      <c r="M49">
        <f t="shared" si="6"/>
        <v>0.08000000000000007</v>
      </c>
    </row>
    <row r="50" spans="2:13" ht="12.75">
      <c r="B50">
        <v>4</v>
      </c>
      <c r="C50">
        <v>4</v>
      </c>
      <c r="D50">
        <f t="shared" si="1"/>
        <v>0.13223140495867744</v>
      </c>
      <c r="E50">
        <f t="shared" si="2"/>
        <v>0.07606860163956693</v>
      </c>
      <c r="F50">
        <f t="shared" si="3"/>
        <v>0</v>
      </c>
      <c r="I50">
        <v>4</v>
      </c>
      <c r="J50">
        <v>4.5</v>
      </c>
      <c r="K50">
        <f t="shared" si="4"/>
        <v>0.13223140495867744</v>
      </c>
      <c r="L50">
        <f t="shared" si="5"/>
        <v>0.050263232512048076</v>
      </c>
      <c r="M50">
        <f t="shared" si="6"/>
        <v>-0.5</v>
      </c>
    </row>
    <row r="51" spans="2:13" ht="12.75">
      <c r="B51">
        <v>5</v>
      </c>
      <c r="C51">
        <v>4.6</v>
      </c>
      <c r="D51">
        <f t="shared" si="1"/>
        <v>0.40495867768595084</v>
      </c>
      <c r="E51">
        <f t="shared" si="2"/>
        <v>0.10510215868654407</v>
      </c>
      <c r="F51">
        <f t="shared" si="3"/>
        <v>0.40000000000000036</v>
      </c>
      <c r="I51">
        <v>3</v>
      </c>
      <c r="J51">
        <v>3</v>
      </c>
      <c r="K51">
        <f t="shared" si="4"/>
        <v>1.859504132231404</v>
      </c>
      <c r="L51">
        <f t="shared" si="5"/>
        <v>1.6276793398946046</v>
      </c>
      <c r="M51">
        <f t="shared" si="6"/>
        <v>0</v>
      </c>
    </row>
    <row r="52" spans="2:13" ht="12.75">
      <c r="B52">
        <v>4</v>
      </c>
      <c r="C52">
        <v>4.17</v>
      </c>
      <c r="D52">
        <f t="shared" si="1"/>
        <v>0.13223140495867744</v>
      </c>
      <c r="E52">
        <f t="shared" si="2"/>
        <v>0.011194776136210534</v>
      </c>
      <c r="F52">
        <f t="shared" si="3"/>
        <v>-0.16999999999999993</v>
      </c>
      <c r="I52">
        <v>3</v>
      </c>
      <c r="J52">
        <v>3.42</v>
      </c>
      <c r="K52">
        <f t="shared" si="4"/>
        <v>1.859504132231404</v>
      </c>
      <c r="L52">
        <f t="shared" si="5"/>
        <v>0.7324028298274889</v>
      </c>
      <c r="M52">
        <f t="shared" si="6"/>
        <v>-0.41999999999999993</v>
      </c>
    </row>
    <row r="53" spans="2:13" ht="12.75">
      <c r="B53">
        <v>4</v>
      </c>
      <c r="C53">
        <v>4.4</v>
      </c>
      <c r="D53">
        <f t="shared" si="1"/>
        <v>0.13223140495867744</v>
      </c>
      <c r="E53">
        <f t="shared" si="2"/>
        <v>0.015424306337551937</v>
      </c>
      <c r="F53">
        <f t="shared" si="3"/>
        <v>-0.40000000000000036</v>
      </c>
      <c r="I53">
        <v>2</v>
      </c>
      <c r="J53">
        <v>3.06</v>
      </c>
      <c r="K53">
        <f t="shared" si="4"/>
        <v>5.5867768595041305</v>
      </c>
      <c r="L53">
        <f t="shared" si="5"/>
        <v>1.4781826955993023</v>
      </c>
      <c r="M53">
        <f t="shared" si="6"/>
        <v>-1.06</v>
      </c>
    </row>
    <row r="54" spans="2:13" ht="12.75">
      <c r="B54">
        <v>4</v>
      </c>
      <c r="C54">
        <v>4.29</v>
      </c>
      <c r="D54">
        <f t="shared" si="1"/>
        <v>0.13223140495867744</v>
      </c>
      <c r="E54">
        <f t="shared" si="2"/>
        <v>0.00020148754560599593</v>
      </c>
      <c r="F54">
        <f t="shared" si="3"/>
        <v>-0.29000000000000004</v>
      </c>
      <c r="I54">
        <v>3</v>
      </c>
      <c r="J54">
        <v>3.42</v>
      </c>
      <c r="K54">
        <f t="shared" si="4"/>
        <v>1.859504132231404</v>
      </c>
      <c r="L54">
        <f t="shared" si="5"/>
        <v>0.7324028298274889</v>
      </c>
      <c r="M54">
        <f t="shared" si="6"/>
        <v>-0.41999999999999993</v>
      </c>
    </row>
    <row r="55" spans="2:13" ht="12.75">
      <c r="B55">
        <v>5</v>
      </c>
      <c r="C55">
        <v>4.67</v>
      </c>
      <c r="D55">
        <f t="shared" si="1"/>
        <v>0.40495867768595084</v>
      </c>
      <c r="E55">
        <f t="shared" si="2"/>
        <v>0.1553894070086916</v>
      </c>
      <c r="F55">
        <f t="shared" si="3"/>
        <v>0.33000000000000007</v>
      </c>
      <c r="I55">
        <v>4</v>
      </c>
      <c r="J55">
        <v>3.86</v>
      </c>
      <c r="K55">
        <f t="shared" si="4"/>
        <v>0.13223140495867744</v>
      </c>
      <c r="L55">
        <f t="shared" si="5"/>
        <v>0.1728941049952723</v>
      </c>
      <c r="M55">
        <f t="shared" si="6"/>
        <v>0.14000000000000012</v>
      </c>
    </row>
    <row r="56" spans="2:13" ht="12.75">
      <c r="B56">
        <v>4</v>
      </c>
      <c r="C56">
        <v>4.14</v>
      </c>
      <c r="D56">
        <f t="shared" si="1"/>
        <v>0.13223140495867744</v>
      </c>
      <c r="E56">
        <f t="shared" si="2"/>
        <v>0.018443098283861738</v>
      </c>
      <c r="F56">
        <f t="shared" si="3"/>
        <v>-0.13999999999999968</v>
      </c>
      <c r="I56">
        <v>1</v>
      </c>
      <c r="J56">
        <v>2.86</v>
      </c>
      <c r="K56">
        <f t="shared" si="4"/>
        <v>11.314049586776857</v>
      </c>
      <c r="L56">
        <f t="shared" si="5"/>
        <v>2.0045048432503103</v>
      </c>
      <c r="M56">
        <f t="shared" si="6"/>
        <v>-1.8599999999999999</v>
      </c>
    </row>
    <row r="57" spans="2:13" ht="12.75">
      <c r="B57">
        <v>5</v>
      </c>
      <c r="C57">
        <v>4.43</v>
      </c>
      <c r="D57">
        <f t="shared" si="1"/>
        <v>0.40495867768595084</v>
      </c>
      <c r="E57">
        <f t="shared" si="2"/>
        <v>0.02377598418990063</v>
      </c>
      <c r="F57">
        <f t="shared" si="3"/>
        <v>0.5700000000000003</v>
      </c>
      <c r="I57">
        <v>3</v>
      </c>
      <c r="J57">
        <v>3.19</v>
      </c>
      <c r="K57">
        <f t="shared" si="4"/>
        <v>1.859504132231404</v>
      </c>
      <c r="L57">
        <f t="shared" si="5"/>
        <v>1.1789732996261475</v>
      </c>
      <c r="M57">
        <f t="shared" si="6"/>
        <v>-0.18999999999999995</v>
      </c>
    </row>
    <row r="58" spans="2:13" ht="12.75">
      <c r="B58">
        <v>4</v>
      </c>
      <c r="C58">
        <v>4.14</v>
      </c>
      <c r="D58">
        <f t="shared" si="1"/>
        <v>0.13223140495867744</v>
      </c>
      <c r="E58">
        <f t="shared" si="2"/>
        <v>0.018443098283861738</v>
      </c>
      <c r="F58">
        <f t="shared" si="3"/>
        <v>-0.13999999999999968</v>
      </c>
      <c r="I58">
        <v>2</v>
      </c>
      <c r="J58">
        <v>2.33</v>
      </c>
      <c r="K58">
        <f t="shared" si="4"/>
        <v>5.5867768595041305</v>
      </c>
      <c r="L58">
        <f t="shared" si="5"/>
        <v>3.78615853452548</v>
      </c>
      <c r="M58">
        <f t="shared" si="6"/>
        <v>-0.33000000000000007</v>
      </c>
    </row>
    <row r="59" spans="2:13" ht="12.75">
      <c r="B59">
        <v>4</v>
      </c>
      <c r="C59">
        <v>3.57</v>
      </c>
      <c r="D59">
        <f t="shared" si="1"/>
        <v>0.13223140495867744</v>
      </c>
      <c r="E59">
        <f t="shared" si="2"/>
        <v>0.4981612190892334</v>
      </c>
      <c r="F59">
        <f t="shared" si="3"/>
        <v>0.43000000000000016</v>
      </c>
      <c r="I59">
        <v>4</v>
      </c>
      <c r="J59">
        <v>3.03</v>
      </c>
      <c r="K59">
        <f t="shared" si="4"/>
        <v>0.13223140495867744</v>
      </c>
      <c r="L59">
        <f t="shared" si="5"/>
        <v>1.552031017746954</v>
      </c>
      <c r="M59">
        <f t="shared" si="6"/>
        <v>0.9700000000000002</v>
      </c>
    </row>
    <row r="60" spans="2:13" ht="12.75">
      <c r="B60">
        <v>4</v>
      </c>
      <c r="C60">
        <v>4.29</v>
      </c>
      <c r="D60">
        <f t="shared" si="1"/>
        <v>0.13223140495867744</v>
      </c>
      <c r="E60">
        <f t="shared" si="2"/>
        <v>0.00020148754560599593</v>
      </c>
      <c r="F60">
        <f t="shared" si="3"/>
        <v>-0.29000000000000004</v>
      </c>
      <c r="I60">
        <v>4</v>
      </c>
      <c r="J60">
        <v>4.06</v>
      </c>
      <c r="K60">
        <f t="shared" si="4"/>
        <v>0.13223140495867744</v>
      </c>
      <c r="L60">
        <f t="shared" si="5"/>
        <v>0.046571957344264836</v>
      </c>
      <c r="M60">
        <f t="shared" si="6"/>
        <v>-0.05999999999999961</v>
      </c>
    </row>
    <row r="61" spans="2:13" ht="12.75">
      <c r="B61">
        <v>4</v>
      </c>
      <c r="C61">
        <v>4</v>
      </c>
      <c r="D61">
        <f t="shared" si="1"/>
        <v>0.13223140495867744</v>
      </c>
      <c r="E61">
        <f t="shared" si="2"/>
        <v>0.07606860163956693</v>
      </c>
      <c r="F61">
        <f t="shared" si="3"/>
        <v>0</v>
      </c>
      <c r="I61">
        <v>4</v>
      </c>
      <c r="J61">
        <v>4.33</v>
      </c>
      <c r="K61">
        <f t="shared" si="4"/>
        <v>0.13223140495867744</v>
      </c>
      <c r="L61">
        <f t="shared" si="5"/>
        <v>0.0029370580154044947</v>
      </c>
      <c r="M61">
        <f t="shared" si="6"/>
        <v>-0.33000000000000007</v>
      </c>
    </row>
    <row r="62" spans="2:13" ht="12.75">
      <c r="B62">
        <v>5</v>
      </c>
      <c r="C62">
        <v>4.67</v>
      </c>
      <c r="D62">
        <f t="shared" si="1"/>
        <v>0.40495867768595084</v>
      </c>
      <c r="E62">
        <f t="shared" si="2"/>
        <v>0.1553894070086916</v>
      </c>
      <c r="F62">
        <f t="shared" si="3"/>
        <v>0.33000000000000007</v>
      </c>
      <c r="I62">
        <v>4</v>
      </c>
      <c r="J62">
        <v>4.22</v>
      </c>
      <c r="K62">
        <f t="shared" si="4"/>
        <v>0.13223140495867744</v>
      </c>
      <c r="L62">
        <f t="shared" si="5"/>
        <v>0.0031142392234586617</v>
      </c>
      <c r="M62">
        <f t="shared" si="6"/>
        <v>-0.21999999999999975</v>
      </c>
    </row>
    <row r="63" spans="2:13" ht="12.75">
      <c r="B63">
        <v>5</v>
      </c>
      <c r="C63">
        <v>4.86</v>
      </c>
      <c r="D63">
        <f t="shared" si="1"/>
        <v>0.40495867768595084</v>
      </c>
      <c r="E63">
        <f t="shared" si="2"/>
        <v>0.3412833667402349</v>
      </c>
      <c r="F63">
        <f t="shared" si="3"/>
        <v>0.13999999999999968</v>
      </c>
      <c r="I63">
        <v>3</v>
      </c>
      <c r="J63">
        <v>2.94</v>
      </c>
      <c r="K63">
        <f t="shared" si="4"/>
        <v>1.859504132231404</v>
      </c>
      <c r="L63">
        <f t="shared" si="5"/>
        <v>1.784375984189907</v>
      </c>
      <c r="M63">
        <f t="shared" si="6"/>
        <v>0.06000000000000005</v>
      </c>
    </row>
    <row r="64" spans="2:13" ht="12.75">
      <c r="B64">
        <v>5</v>
      </c>
      <c r="C64">
        <v>4.33</v>
      </c>
      <c r="D64">
        <f t="shared" si="1"/>
        <v>0.40495867768595084</v>
      </c>
      <c r="E64">
        <f t="shared" si="2"/>
        <v>0.0029370580154044947</v>
      </c>
      <c r="F64">
        <f t="shared" si="3"/>
        <v>0.6699999999999999</v>
      </c>
      <c r="I64">
        <v>3</v>
      </c>
      <c r="J64">
        <v>3.08</v>
      </c>
      <c r="K64">
        <f t="shared" si="4"/>
        <v>1.859504132231404</v>
      </c>
      <c r="L64">
        <f t="shared" si="5"/>
        <v>1.4299504808342014</v>
      </c>
      <c r="M64">
        <f t="shared" si="6"/>
        <v>-0.08000000000000007</v>
      </c>
    </row>
    <row r="65" spans="2:13" ht="12.75">
      <c r="B65">
        <v>5</v>
      </c>
      <c r="C65">
        <v>4.29</v>
      </c>
      <c r="D65">
        <f t="shared" si="1"/>
        <v>0.40495867768595084</v>
      </c>
      <c r="E65">
        <f t="shared" si="2"/>
        <v>0.00020148754560599593</v>
      </c>
      <c r="F65">
        <f t="shared" si="3"/>
        <v>0.71</v>
      </c>
      <c r="I65">
        <v>2</v>
      </c>
      <c r="J65">
        <v>2.56</v>
      </c>
      <c r="K65">
        <f t="shared" si="4"/>
        <v>5.5867768595041305</v>
      </c>
      <c r="L65">
        <f t="shared" si="5"/>
        <v>2.943988064726821</v>
      </c>
      <c r="M65">
        <f t="shared" si="6"/>
        <v>-0.56</v>
      </c>
    </row>
    <row r="66" spans="2:13" ht="12.75">
      <c r="B66">
        <v>5</v>
      </c>
      <c r="C66">
        <v>4</v>
      </c>
      <c r="D66">
        <f t="shared" si="1"/>
        <v>0.40495867768595084</v>
      </c>
      <c r="E66">
        <f t="shared" si="2"/>
        <v>0.07606860163956693</v>
      </c>
      <c r="F66">
        <f t="shared" si="3"/>
        <v>1</v>
      </c>
      <c r="I66">
        <v>4</v>
      </c>
      <c r="J66">
        <v>3.94</v>
      </c>
      <c r="K66">
        <f t="shared" si="4"/>
        <v>0.13223140495867744</v>
      </c>
      <c r="L66">
        <f t="shared" si="5"/>
        <v>0.11276524593486922</v>
      </c>
      <c r="M66">
        <f t="shared" si="6"/>
        <v>0.06000000000000005</v>
      </c>
    </row>
    <row r="67" spans="2:13" ht="12.75">
      <c r="B67">
        <v>4</v>
      </c>
      <c r="C67">
        <v>4.29</v>
      </c>
      <c r="D67">
        <f aca="true" t="shared" si="7" ref="D67:D130">(B67-$B$304)^2</f>
        <v>0.13223140495867744</v>
      </c>
      <c r="E67">
        <f aca="true" t="shared" si="8" ref="E67:E130">(C67-$C$304)^2</f>
        <v>0.00020148754560599593</v>
      </c>
      <c r="F67">
        <f aca="true" t="shared" si="9" ref="F67:F130">B67-C67</f>
        <v>-0.29000000000000004</v>
      </c>
      <c r="I67">
        <v>5</v>
      </c>
      <c r="J67">
        <v>4.58</v>
      </c>
      <c r="K67">
        <f aca="true" t="shared" si="10" ref="K67:K130">(I67-$B$304)^2</f>
        <v>0.40495867768595084</v>
      </c>
      <c r="L67">
        <f aca="true" t="shared" si="11" ref="L67:L130">(J67-$C$304)^2</f>
        <v>0.0925343734516451</v>
      </c>
      <c r="M67">
        <f t="shared" si="6"/>
        <v>0.41999999999999993</v>
      </c>
    </row>
    <row r="68" spans="2:13" ht="12.75">
      <c r="B68">
        <v>5</v>
      </c>
      <c r="C68">
        <v>4.71</v>
      </c>
      <c r="D68">
        <f t="shared" si="7"/>
        <v>0.40495867768595084</v>
      </c>
      <c r="E68">
        <f t="shared" si="8"/>
        <v>0.18852497747849012</v>
      </c>
      <c r="F68">
        <f t="shared" si="9"/>
        <v>0.29000000000000004</v>
      </c>
      <c r="I68">
        <v>3</v>
      </c>
      <c r="J68">
        <v>3.06</v>
      </c>
      <c r="K68">
        <f t="shared" si="10"/>
        <v>1.859504132231404</v>
      </c>
      <c r="L68">
        <f t="shared" si="11"/>
        <v>1.4781826955993023</v>
      </c>
      <c r="M68">
        <f t="shared" si="6"/>
        <v>-0.06000000000000005</v>
      </c>
    </row>
    <row r="69" spans="2:13" ht="12.75">
      <c r="B69">
        <v>5</v>
      </c>
      <c r="C69">
        <v>5</v>
      </c>
      <c r="D69">
        <f t="shared" si="7"/>
        <v>0.40495867768595084</v>
      </c>
      <c r="E69">
        <f t="shared" si="8"/>
        <v>0.5244578633845293</v>
      </c>
      <c r="F69">
        <f t="shared" si="9"/>
        <v>0</v>
      </c>
      <c r="I69">
        <v>3</v>
      </c>
      <c r="J69">
        <v>3.67</v>
      </c>
      <c r="K69">
        <f t="shared" si="10"/>
        <v>1.859504132231404</v>
      </c>
      <c r="L69">
        <f t="shared" si="11"/>
        <v>0.3670001452637295</v>
      </c>
      <c r="M69">
        <f t="shared" si="6"/>
        <v>-0.6699999999999999</v>
      </c>
    </row>
    <row r="70" spans="2:13" ht="12.75">
      <c r="B70">
        <v>4</v>
      </c>
      <c r="C70">
        <v>2.83</v>
      </c>
      <c r="D70">
        <f t="shared" si="7"/>
        <v>0.13223140495867744</v>
      </c>
      <c r="E70">
        <f t="shared" si="8"/>
        <v>2.090353165397961</v>
      </c>
      <c r="F70">
        <f t="shared" si="9"/>
        <v>1.17</v>
      </c>
      <c r="I70">
        <v>3</v>
      </c>
      <c r="J70">
        <v>3.17</v>
      </c>
      <c r="K70">
        <f t="shared" si="10"/>
        <v>1.859504132231404</v>
      </c>
      <c r="L70">
        <f t="shared" si="11"/>
        <v>1.2228055143912484</v>
      </c>
      <c r="M70">
        <f t="shared" si="6"/>
        <v>-0.16999999999999993</v>
      </c>
    </row>
    <row r="71" spans="2:13" ht="12.75">
      <c r="B71">
        <v>4</v>
      </c>
      <c r="C71">
        <v>3.71</v>
      </c>
      <c r="D71">
        <f t="shared" si="7"/>
        <v>0.13223140495867744</v>
      </c>
      <c r="E71">
        <f t="shared" si="8"/>
        <v>0.3201357157335279</v>
      </c>
      <c r="F71">
        <f t="shared" si="9"/>
        <v>0.29000000000000004</v>
      </c>
      <c r="I71">
        <v>5</v>
      </c>
      <c r="J71">
        <v>4.56</v>
      </c>
      <c r="K71">
        <f t="shared" si="10"/>
        <v>0.40495867768595084</v>
      </c>
      <c r="L71">
        <f t="shared" si="11"/>
        <v>0.0807665882167456</v>
      </c>
      <c r="M71">
        <f t="shared" si="6"/>
        <v>0.4400000000000004</v>
      </c>
    </row>
    <row r="72" spans="2:13" ht="12.75">
      <c r="B72">
        <v>3</v>
      </c>
      <c r="C72">
        <v>2.71</v>
      </c>
      <c r="D72">
        <f t="shared" si="7"/>
        <v>1.859504132231404</v>
      </c>
      <c r="E72">
        <f t="shared" si="8"/>
        <v>2.451746453988566</v>
      </c>
      <c r="F72">
        <f t="shared" si="9"/>
        <v>0.29000000000000004</v>
      </c>
      <c r="I72">
        <v>2</v>
      </c>
      <c r="J72">
        <v>2.97</v>
      </c>
      <c r="K72">
        <f t="shared" si="10"/>
        <v>5.5867768595041305</v>
      </c>
      <c r="L72">
        <f t="shared" si="11"/>
        <v>1.7051276620422553</v>
      </c>
      <c r="M72">
        <f t="shared" si="6"/>
        <v>-0.9700000000000002</v>
      </c>
    </row>
    <row r="73" spans="2:13" ht="12.75">
      <c r="B73">
        <v>5</v>
      </c>
      <c r="C73">
        <v>4.29</v>
      </c>
      <c r="D73">
        <f t="shared" si="7"/>
        <v>0.40495867768595084</v>
      </c>
      <c r="E73">
        <f t="shared" si="8"/>
        <v>0.00020148754560599593</v>
      </c>
      <c r="F73">
        <f t="shared" si="9"/>
        <v>0.71</v>
      </c>
      <c r="I73">
        <v>3</v>
      </c>
      <c r="J73">
        <v>3.36</v>
      </c>
      <c r="K73">
        <f t="shared" si="10"/>
        <v>1.859504132231404</v>
      </c>
      <c r="L73">
        <f t="shared" si="11"/>
        <v>0.8386994741227913</v>
      </c>
      <c r="M73">
        <f t="shared" si="6"/>
        <v>-0.3599999999999999</v>
      </c>
    </row>
    <row r="74" spans="2:13" ht="12.75">
      <c r="B74">
        <v>5</v>
      </c>
      <c r="C74">
        <v>4.14</v>
      </c>
      <c r="D74">
        <f t="shared" si="7"/>
        <v>0.40495867768595084</v>
      </c>
      <c r="E74">
        <f t="shared" si="8"/>
        <v>0.018443098283861738</v>
      </c>
      <c r="F74">
        <f t="shared" si="9"/>
        <v>0.8600000000000003</v>
      </c>
      <c r="I74">
        <v>2</v>
      </c>
      <c r="J74">
        <v>2.03</v>
      </c>
      <c r="K74">
        <f t="shared" si="10"/>
        <v>5.5867768595041305</v>
      </c>
      <c r="L74">
        <f t="shared" si="11"/>
        <v>5.043641756001992</v>
      </c>
      <c r="M74">
        <f t="shared" si="6"/>
        <v>-0.029999999999999805</v>
      </c>
    </row>
    <row r="75" spans="2:13" ht="12.75">
      <c r="B75">
        <v>5</v>
      </c>
      <c r="C75">
        <v>4.5</v>
      </c>
      <c r="D75">
        <f t="shared" si="7"/>
        <v>0.40495867768595084</v>
      </c>
      <c r="E75">
        <f t="shared" si="8"/>
        <v>0.050263232512048076</v>
      </c>
      <c r="F75">
        <f t="shared" si="9"/>
        <v>0.5</v>
      </c>
      <c r="I75">
        <v>3</v>
      </c>
      <c r="J75">
        <v>3.03</v>
      </c>
      <c r="K75">
        <f t="shared" si="10"/>
        <v>1.859504132231404</v>
      </c>
      <c r="L75">
        <f t="shared" si="11"/>
        <v>1.552031017746954</v>
      </c>
      <c r="M75">
        <f t="shared" si="6"/>
        <v>-0.029999999999999805</v>
      </c>
    </row>
    <row r="76" spans="2:13" ht="12.75">
      <c r="B76">
        <v>4</v>
      </c>
      <c r="C76">
        <v>4.5</v>
      </c>
      <c r="D76">
        <f t="shared" si="7"/>
        <v>0.13223140495867744</v>
      </c>
      <c r="E76">
        <f t="shared" si="8"/>
        <v>0.050263232512048076</v>
      </c>
      <c r="F76">
        <f t="shared" si="9"/>
        <v>-0.5</v>
      </c>
      <c r="I76">
        <v>5</v>
      </c>
      <c r="J76">
        <v>4.19</v>
      </c>
      <c r="K76">
        <f t="shared" si="10"/>
        <v>0.40495867768595084</v>
      </c>
      <c r="L76">
        <f t="shared" si="11"/>
        <v>0.007362561371109698</v>
      </c>
      <c r="M76">
        <f t="shared" si="6"/>
        <v>0.8099999999999996</v>
      </c>
    </row>
    <row r="77" spans="2:13" ht="12.75">
      <c r="B77">
        <v>5</v>
      </c>
      <c r="C77">
        <v>4</v>
      </c>
      <c r="D77">
        <f t="shared" si="7"/>
        <v>0.40495867768595084</v>
      </c>
      <c r="E77">
        <f t="shared" si="8"/>
        <v>0.07606860163956693</v>
      </c>
      <c r="F77">
        <f t="shared" si="9"/>
        <v>1</v>
      </c>
      <c r="I77">
        <v>3</v>
      </c>
      <c r="J77">
        <v>2.67</v>
      </c>
      <c r="K77">
        <f t="shared" si="10"/>
        <v>1.859504132231404</v>
      </c>
      <c r="L77">
        <f t="shared" si="11"/>
        <v>2.5786108835187673</v>
      </c>
      <c r="M77">
        <f t="shared" si="6"/>
        <v>0.33000000000000007</v>
      </c>
    </row>
    <row r="78" spans="2:13" ht="12.75">
      <c r="B78">
        <v>5</v>
      </c>
      <c r="C78">
        <v>4.43</v>
      </c>
      <c r="D78">
        <f t="shared" si="7"/>
        <v>0.40495867768595084</v>
      </c>
      <c r="E78">
        <f t="shared" si="8"/>
        <v>0.02377598418990063</v>
      </c>
      <c r="F78">
        <f t="shared" si="9"/>
        <v>0.5700000000000003</v>
      </c>
      <c r="I78">
        <v>4</v>
      </c>
      <c r="J78">
        <v>3.56</v>
      </c>
      <c r="K78">
        <f t="shared" si="10"/>
        <v>0.13223140495867744</v>
      </c>
      <c r="L78">
        <f t="shared" si="11"/>
        <v>0.5123773264717835</v>
      </c>
      <c r="M78">
        <f t="shared" si="6"/>
        <v>0.43999999999999995</v>
      </c>
    </row>
    <row r="79" spans="2:13" ht="12.75">
      <c r="B79">
        <v>5</v>
      </c>
      <c r="C79">
        <v>4</v>
      </c>
      <c r="D79">
        <f t="shared" si="7"/>
        <v>0.40495867768595084</v>
      </c>
      <c r="E79">
        <f t="shared" si="8"/>
        <v>0.07606860163956693</v>
      </c>
      <c r="F79">
        <f t="shared" si="9"/>
        <v>1</v>
      </c>
      <c r="I79">
        <v>5</v>
      </c>
      <c r="J79">
        <v>4.08</v>
      </c>
      <c r="K79">
        <f t="shared" si="10"/>
        <v>0.40495867768595084</v>
      </c>
      <c r="L79">
        <f t="shared" si="11"/>
        <v>0.03833974257916389</v>
      </c>
      <c r="M79">
        <f t="shared" si="6"/>
        <v>0.9199999999999999</v>
      </c>
    </row>
    <row r="80" spans="2:13" ht="12.75">
      <c r="B80">
        <v>3</v>
      </c>
      <c r="C80">
        <v>4</v>
      </c>
      <c r="D80">
        <f t="shared" si="7"/>
        <v>1.859504132231404</v>
      </c>
      <c r="E80">
        <f t="shared" si="8"/>
        <v>0.07606860163956693</v>
      </c>
      <c r="F80">
        <f t="shared" si="9"/>
        <v>-1</v>
      </c>
      <c r="I80">
        <v>4</v>
      </c>
      <c r="J80">
        <v>3.75</v>
      </c>
      <c r="K80">
        <f t="shared" si="10"/>
        <v>0.13223140495867744</v>
      </c>
      <c r="L80">
        <f t="shared" si="11"/>
        <v>0.27647128620332634</v>
      </c>
      <c r="M80">
        <f t="shared" si="6"/>
        <v>0.25</v>
      </c>
    </row>
    <row r="81" spans="2:13" ht="12.75">
      <c r="B81">
        <v>4</v>
      </c>
      <c r="C81">
        <v>3.33</v>
      </c>
      <c r="D81">
        <f t="shared" si="7"/>
        <v>0.13223140495867744</v>
      </c>
      <c r="E81">
        <f t="shared" si="8"/>
        <v>0.894547796270442</v>
      </c>
      <c r="F81">
        <f t="shared" si="9"/>
        <v>0.6699999999999999</v>
      </c>
      <c r="I81">
        <v>4</v>
      </c>
      <c r="J81">
        <v>3.72</v>
      </c>
      <c r="K81">
        <f t="shared" si="10"/>
        <v>0.13223140495867744</v>
      </c>
      <c r="L81">
        <f t="shared" si="11"/>
        <v>0.30891960835097726</v>
      </c>
      <c r="M81">
        <f t="shared" si="6"/>
        <v>0.2799999999999998</v>
      </c>
    </row>
    <row r="82" spans="2:13" ht="12.75">
      <c r="B82">
        <v>4</v>
      </c>
      <c r="C82">
        <v>3.29</v>
      </c>
      <c r="D82">
        <f t="shared" si="7"/>
        <v>0.13223140495867744</v>
      </c>
      <c r="E82">
        <f t="shared" si="8"/>
        <v>0.9718122258006436</v>
      </c>
      <c r="F82">
        <f t="shared" si="9"/>
        <v>0.71</v>
      </c>
      <c r="I82">
        <v>3</v>
      </c>
      <c r="J82">
        <v>2.56</v>
      </c>
      <c r="K82">
        <f t="shared" si="10"/>
        <v>1.859504132231404</v>
      </c>
      <c r="L82">
        <f t="shared" si="11"/>
        <v>2.943988064726821</v>
      </c>
      <c r="M82">
        <f t="shared" si="6"/>
        <v>0.43999999999999995</v>
      </c>
    </row>
    <row r="83" spans="2:13" ht="12.75">
      <c r="B83">
        <v>4</v>
      </c>
      <c r="C83">
        <v>3.43</v>
      </c>
      <c r="D83">
        <f t="shared" si="7"/>
        <v>0.13223140495867744</v>
      </c>
      <c r="E83">
        <f t="shared" si="8"/>
        <v>0.7153867224449382</v>
      </c>
      <c r="F83">
        <f t="shared" si="9"/>
        <v>0.5699999999999998</v>
      </c>
      <c r="I83">
        <v>4</v>
      </c>
      <c r="J83">
        <v>4.39</v>
      </c>
      <c r="K83">
        <f t="shared" si="10"/>
        <v>0.13223140495867744</v>
      </c>
      <c r="L83">
        <f t="shared" si="11"/>
        <v>0.013040413720102152</v>
      </c>
      <c r="M83">
        <f t="shared" si="6"/>
        <v>-0.3899999999999997</v>
      </c>
    </row>
    <row r="84" spans="2:13" ht="12.75">
      <c r="B84">
        <v>5</v>
      </c>
      <c r="C84">
        <v>4.71</v>
      </c>
      <c r="D84">
        <f t="shared" si="7"/>
        <v>0.40495867768595084</v>
      </c>
      <c r="E84">
        <f t="shared" si="8"/>
        <v>0.18852497747849012</v>
      </c>
      <c r="F84">
        <f t="shared" si="9"/>
        <v>0.29000000000000004</v>
      </c>
      <c r="I84">
        <v>3</v>
      </c>
      <c r="J84">
        <v>3.28</v>
      </c>
      <c r="K84">
        <f t="shared" si="10"/>
        <v>1.859504132231404</v>
      </c>
      <c r="L84">
        <f t="shared" si="11"/>
        <v>0.9916283331831944</v>
      </c>
      <c r="M84">
        <f t="shared" si="6"/>
        <v>-0.2799999999999998</v>
      </c>
    </row>
    <row r="85" spans="2:13" ht="12.75">
      <c r="B85">
        <v>5</v>
      </c>
      <c r="C85">
        <v>5</v>
      </c>
      <c r="D85">
        <f t="shared" si="7"/>
        <v>0.40495867768595084</v>
      </c>
      <c r="E85">
        <f t="shared" si="8"/>
        <v>0.5244578633845293</v>
      </c>
      <c r="F85">
        <f t="shared" si="9"/>
        <v>0</v>
      </c>
      <c r="I85">
        <v>4</v>
      </c>
      <c r="J85">
        <v>3.36</v>
      </c>
      <c r="K85">
        <f t="shared" si="10"/>
        <v>0.13223140495867744</v>
      </c>
      <c r="L85">
        <f t="shared" si="11"/>
        <v>0.8386994741227913</v>
      </c>
      <c r="M85">
        <f t="shared" si="6"/>
        <v>0.6400000000000001</v>
      </c>
    </row>
    <row r="86" spans="2:13" ht="12.75">
      <c r="B86">
        <v>3</v>
      </c>
      <c r="C86">
        <v>3.33</v>
      </c>
      <c r="D86">
        <f t="shared" si="7"/>
        <v>1.859504132231404</v>
      </c>
      <c r="E86">
        <f t="shared" si="8"/>
        <v>0.894547796270442</v>
      </c>
      <c r="F86">
        <f t="shared" si="9"/>
        <v>-0.33000000000000007</v>
      </c>
      <c r="I86">
        <v>4</v>
      </c>
      <c r="J86">
        <v>4.19</v>
      </c>
      <c r="K86">
        <f t="shared" si="10"/>
        <v>0.13223140495867744</v>
      </c>
      <c r="L86">
        <f t="shared" si="11"/>
        <v>0.007362561371109698</v>
      </c>
      <c r="M86">
        <f t="shared" si="6"/>
        <v>-0.1900000000000004</v>
      </c>
    </row>
    <row r="87" spans="2:13" ht="12.75">
      <c r="B87">
        <v>4</v>
      </c>
      <c r="C87">
        <v>3.86</v>
      </c>
      <c r="D87">
        <f t="shared" si="7"/>
        <v>0.13223140495867744</v>
      </c>
      <c r="E87">
        <f t="shared" si="8"/>
        <v>0.1728941049952723</v>
      </c>
      <c r="F87">
        <f t="shared" si="9"/>
        <v>0.14000000000000012</v>
      </c>
      <c r="I87">
        <v>4</v>
      </c>
      <c r="J87">
        <v>4.11</v>
      </c>
      <c r="K87">
        <f t="shared" si="10"/>
        <v>0.13223140495867744</v>
      </c>
      <c r="L87">
        <f t="shared" si="11"/>
        <v>0.027491420431512675</v>
      </c>
      <c r="M87">
        <f t="shared" si="6"/>
        <v>-0.11000000000000032</v>
      </c>
    </row>
    <row r="88" spans="2:13" ht="12.75">
      <c r="B88">
        <v>5</v>
      </c>
      <c r="C88">
        <v>3.57</v>
      </c>
      <c r="D88">
        <f t="shared" si="7"/>
        <v>0.40495867768595084</v>
      </c>
      <c r="E88">
        <f t="shared" si="8"/>
        <v>0.4981612190892334</v>
      </c>
      <c r="F88">
        <f t="shared" si="9"/>
        <v>1.4300000000000002</v>
      </c>
      <c r="I88">
        <v>4</v>
      </c>
      <c r="J88">
        <v>4</v>
      </c>
      <c r="K88">
        <f t="shared" si="10"/>
        <v>0.13223140495867744</v>
      </c>
      <c r="L88">
        <f t="shared" si="11"/>
        <v>0.07606860163956693</v>
      </c>
      <c r="M88">
        <f t="shared" si="6"/>
        <v>0</v>
      </c>
    </row>
    <row r="89" spans="2:13" ht="12.75">
      <c r="B89">
        <v>4</v>
      </c>
      <c r="C89">
        <v>4.86</v>
      </c>
      <c r="D89">
        <f t="shared" si="7"/>
        <v>0.13223140495867744</v>
      </c>
      <c r="E89">
        <f t="shared" si="8"/>
        <v>0.3412833667402349</v>
      </c>
      <c r="F89">
        <f t="shared" si="9"/>
        <v>-0.8600000000000003</v>
      </c>
      <c r="I89">
        <v>4</v>
      </c>
      <c r="J89">
        <v>3.19</v>
      </c>
      <c r="K89">
        <f t="shared" si="10"/>
        <v>0.13223140495867744</v>
      </c>
      <c r="L89">
        <f t="shared" si="11"/>
        <v>1.1789732996261475</v>
      </c>
      <c r="M89">
        <f t="shared" si="6"/>
        <v>0.81</v>
      </c>
    </row>
    <row r="90" spans="2:13" ht="12.75">
      <c r="B90">
        <v>4</v>
      </c>
      <c r="C90">
        <v>4.14</v>
      </c>
      <c r="D90">
        <f t="shared" si="7"/>
        <v>0.13223140495867744</v>
      </c>
      <c r="E90">
        <f t="shared" si="8"/>
        <v>0.018443098283861738</v>
      </c>
      <c r="F90">
        <f t="shared" si="9"/>
        <v>-0.13999999999999968</v>
      </c>
      <c r="I90">
        <v>4</v>
      </c>
      <c r="J90">
        <v>4.03</v>
      </c>
      <c r="K90">
        <f t="shared" si="10"/>
        <v>0.13223140495867744</v>
      </c>
      <c r="L90">
        <f t="shared" si="11"/>
        <v>0.060420279491915675</v>
      </c>
      <c r="M90">
        <f t="shared" si="6"/>
        <v>-0.03000000000000025</v>
      </c>
    </row>
    <row r="91" spans="2:13" ht="12.75">
      <c r="B91">
        <v>4</v>
      </c>
      <c r="C91">
        <v>4.17</v>
      </c>
      <c r="D91">
        <f t="shared" si="7"/>
        <v>0.13223140495867744</v>
      </c>
      <c r="E91">
        <f t="shared" si="8"/>
        <v>0.011194776136210534</v>
      </c>
      <c r="F91">
        <f t="shared" si="9"/>
        <v>-0.16999999999999993</v>
      </c>
      <c r="I91">
        <v>4</v>
      </c>
      <c r="J91">
        <v>4</v>
      </c>
      <c r="K91">
        <f t="shared" si="10"/>
        <v>0.13223140495867744</v>
      </c>
      <c r="L91">
        <f t="shared" si="11"/>
        <v>0.07606860163956693</v>
      </c>
      <c r="M91">
        <f t="shared" si="6"/>
        <v>0</v>
      </c>
    </row>
    <row r="92" spans="2:13" ht="12.75">
      <c r="B92">
        <v>4</v>
      </c>
      <c r="C92">
        <v>4.71</v>
      </c>
      <c r="D92">
        <f t="shared" si="7"/>
        <v>0.13223140495867744</v>
      </c>
      <c r="E92">
        <f t="shared" si="8"/>
        <v>0.18852497747849012</v>
      </c>
      <c r="F92">
        <f t="shared" si="9"/>
        <v>-0.71</v>
      </c>
      <c r="I92">
        <v>2</v>
      </c>
      <c r="J92">
        <v>1.75</v>
      </c>
      <c r="K92">
        <f t="shared" si="10"/>
        <v>5.5867768595041305</v>
      </c>
      <c r="L92">
        <f t="shared" si="11"/>
        <v>6.379692762713402</v>
      </c>
      <c r="M92">
        <f t="shared" si="6"/>
        <v>0.25</v>
      </c>
    </row>
    <row r="93" spans="2:13" ht="12.75">
      <c r="B93">
        <v>5</v>
      </c>
      <c r="C93">
        <v>4.57</v>
      </c>
      <c r="D93">
        <f t="shared" si="7"/>
        <v>0.40495867768595084</v>
      </c>
      <c r="E93">
        <f t="shared" si="8"/>
        <v>0.0865504808341956</v>
      </c>
      <c r="F93">
        <f t="shared" si="9"/>
        <v>0.4299999999999997</v>
      </c>
      <c r="I93">
        <v>3</v>
      </c>
      <c r="J93">
        <v>3</v>
      </c>
      <c r="K93">
        <f t="shared" si="10"/>
        <v>1.859504132231404</v>
      </c>
      <c r="L93">
        <f t="shared" si="11"/>
        <v>1.6276793398946046</v>
      </c>
      <c r="M93">
        <f t="shared" si="6"/>
        <v>0</v>
      </c>
    </row>
    <row r="94" spans="2:13" ht="12.75">
      <c r="B94">
        <v>5</v>
      </c>
      <c r="C94">
        <v>4.4</v>
      </c>
      <c r="D94">
        <f t="shared" si="7"/>
        <v>0.40495867768595084</v>
      </c>
      <c r="E94">
        <f t="shared" si="8"/>
        <v>0.015424306337551937</v>
      </c>
      <c r="F94">
        <f t="shared" si="9"/>
        <v>0.5999999999999996</v>
      </c>
      <c r="I94">
        <v>4</v>
      </c>
      <c r="J94">
        <v>3.22</v>
      </c>
      <c r="K94">
        <f t="shared" si="10"/>
        <v>0.13223140495867744</v>
      </c>
      <c r="L94">
        <f t="shared" si="11"/>
        <v>1.114724977478496</v>
      </c>
      <c r="M94">
        <f aca="true" t="shared" si="12" ref="M94:M134">I94-J94</f>
        <v>0.7799999999999998</v>
      </c>
    </row>
    <row r="95" spans="2:13" ht="12.75">
      <c r="B95">
        <v>4</v>
      </c>
      <c r="C95">
        <v>4.71</v>
      </c>
      <c r="D95">
        <f t="shared" si="7"/>
        <v>0.13223140495867744</v>
      </c>
      <c r="E95">
        <f t="shared" si="8"/>
        <v>0.18852497747849012</v>
      </c>
      <c r="F95">
        <f t="shared" si="9"/>
        <v>-0.71</v>
      </c>
      <c r="I95">
        <v>3</v>
      </c>
      <c r="J95">
        <v>2.61</v>
      </c>
      <c r="K95">
        <f t="shared" si="10"/>
        <v>1.859504132231404</v>
      </c>
      <c r="L95">
        <f t="shared" si="11"/>
        <v>2.7749075278140696</v>
      </c>
      <c r="M95">
        <f t="shared" si="12"/>
        <v>0.3900000000000001</v>
      </c>
    </row>
    <row r="96" spans="2:13" ht="12.75">
      <c r="B96">
        <v>4</v>
      </c>
      <c r="C96">
        <v>3.17</v>
      </c>
      <c r="D96">
        <f t="shared" si="7"/>
        <v>0.13223140495867744</v>
      </c>
      <c r="E96">
        <f t="shared" si="8"/>
        <v>1.2228055143912484</v>
      </c>
      <c r="F96">
        <f t="shared" si="9"/>
        <v>0.8300000000000001</v>
      </c>
      <c r="I96">
        <v>4</v>
      </c>
      <c r="J96">
        <v>3.67</v>
      </c>
      <c r="K96">
        <f t="shared" si="10"/>
        <v>0.13223140495867744</v>
      </c>
      <c r="L96">
        <f t="shared" si="11"/>
        <v>0.3670001452637295</v>
      </c>
      <c r="M96">
        <f t="shared" si="12"/>
        <v>0.33000000000000007</v>
      </c>
    </row>
    <row r="97" spans="2:13" ht="12.75">
      <c r="B97">
        <v>4</v>
      </c>
      <c r="C97">
        <v>4.29</v>
      </c>
      <c r="D97">
        <f t="shared" si="7"/>
        <v>0.13223140495867744</v>
      </c>
      <c r="E97">
        <f t="shared" si="8"/>
        <v>0.00020148754560599593</v>
      </c>
      <c r="F97">
        <f t="shared" si="9"/>
        <v>-0.29000000000000004</v>
      </c>
      <c r="I97">
        <v>3</v>
      </c>
      <c r="J97">
        <v>2.94</v>
      </c>
      <c r="K97">
        <f t="shared" si="10"/>
        <v>1.859504132231404</v>
      </c>
      <c r="L97">
        <f t="shared" si="11"/>
        <v>1.784375984189907</v>
      </c>
      <c r="M97">
        <f t="shared" si="12"/>
        <v>0.06000000000000005</v>
      </c>
    </row>
    <row r="98" spans="2:13" ht="12.75">
      <c r="B98">
        <v>5</v>
      </c>
      <c r="C98">
        <v>4.57</v>
      </c>
      <c r="D98">
        <f t="shared" si="7"/>
        <v>0.40495867768595084</v>
      </c>
      <c r="E98">
        <f t="shared" si="8"/>
        <v>0.0865504808341956</v>
      </c>
      <c r="F98">
        <f t="shared" si="9"/>
        <v>0.4299999999999997</v>
      </c>
      <c r="I98">
        <v>4</v>
      </c>
      <c r="J98">
        <v>3.89</v>
      </c>
      <c r="K98">
        <f t="shared" si="10"/>
        <v>0.13223140495867744</v>
      </c>
      <c r="L98">
        <f t="shared" si="11"/>
        <v>0.14884578284762098</v>
      </c>
      <c r="M98">
        <f t="shared" si="12"/>
        <v>0.10999999999999988</v>
      </c>
    </row>
    <row r="99" spans="2:13" ht="12.75">
      <c r="B99">
        <v>4</v>
      </c>
      <c r="C99">
        <v>4.5</v>
      </c>
      <c r="D99">
        <f t="shared" si="7"/>
        <v>0.13223140495867744</v>
      </c>
      <c r="E99">
        <f t="shared" si="8"/>
        <v>0.050263232512048076</v>
      </c>
      <c r="F99">
        <f t="shared" si="9"/>
        <v>-0.5</v>
      </c>
      <c r="I99">
        <v>4</v>
      </c>
      <c r="J99">
        <v>3.61</v>
      </c>
      <c r="K99">
        <f t="shared" si="10"/>
        <v>0.13223140495867744</v>
      </c>
      <c r="L99">
        <f t="shared" si="11"/>
        <v>0.4432967895590318</v>
      </c>
      <c r="M99">
        <f t="shared" si="12"/>
        <v>0.3900000000000001</v>
      </c>
    </row>
    <row r="100" spans="2:13" ht="12.75">
      <c r="B100">
        <v>4</v>
      </c>
      <c r="C100">
        <v>4</v>
      </c>
      <c r="D100">
        <f t="shared" si="7"/>
        <v>0.13223140495867744</v>
      </c>
      <c r="E100">
        <f t="shared" si="8"/>
        <v>0.07606860163956693</v>
      </c>
      <c r="F100">
        <f t="shared" si="9"/>
        <v>0</v>
      </c>
      <c r="I100">
        <v>3</v>
      </c>
      <c r="J100">
        <v>3.75</v>
      </c>
      <c r="K100">
        <f t="shared" si="10"/>
        <v>1.859504132231404</v>
      </c>
      <c r="L100">
        <f t="shared" si="11"/>
        <v>0.27647128620332634</v>
      </c>
      <c r="M100">
        <f t="shared" si="12"/>
        <v>-0.75</v>
      </c>
    </row>
    <row r="101" spans="2:13" ht="12.75">
      <c r="B101">
        <v>4</v>
      </c>
      <c r="C101">
        <v>4.71</v>
      </c>
      <c r="D101">
        <f t="shared" si="7"/>
        <v>0.13223140495867744</v>
      </c>
      <c r="E101">
        <f t="shared" si="8"/>
        <v>0.18852497747849012</v>
      </c>
      <c r="F101">
        <f t="shared" si="9"/>
        <v>-0.71</v>
      </c>
      <c r="I101">
        <v>4</v>
      </c>
      <c r="J101">
        <v>3.83</v>
      </c>
      <c r="K101">
        <f t="shared" si="10"/>
        <v>0.13223140495867744</v>
      </c>
      <c r="L101">
        <f t="shared" si="11"/>
        <v>0.19874242714292328</v>
      </c>
      <c r="M101">
        <f t="shared" si="12"/>
        <v>0.16999999999999993</v>
      </c>
    </row>
    <row r="102" spans="2:13" ht="12.75">
      <c r="B102">
        <v>4</v>
      </c>
      <c r="C102">
        <v>5</v>
      </c>
      <c r="D102">
        <f t="shared" si="7"/>
        <v>0.13223140495867744</v>
      </c>
      <c r="E102">
        <f t="shared" si="8"/>
        <v>0.5244578633845293</v>
      </c>
      <c r="F102">
        <f t="shared" si="9"/>
        <v>-1</v>
      </c>
      <c r="I102">
        <v>5</v>
      </c>
      <c r="J102">
        <v>4.08</v>
      </c>
      <c r="K102">
        <f t="shared" si="10"/>
        <v>0.40495867768595084</v>
      </c>
      <c r="L102">
        <f t="shared" si="11"/>
        <v>0.03833974257916389</v>
      </c>
      <c r="M102">
        <f t="shared" si="12"/>
        <v>0.9199999999999999</v>
      </c>
    </row>
    <row r="103" spans="2:13" ht="12.75">
      <c r="B103">
        <v>4</v>
      </c>
      <c r="C103">
        <v>4.57</v>
      </c>
      <c r="D103">
        <f t="shared" si="7"/>
        <v>0.13223140495867744</v>
      </c>
      <c r="E103">
        <f t="shared" si="8"/>
        <v>0.0865504808341956</v>
      </c>
      <c r="F103">
        <f t="shared" si="9"/>
        <v>-0.5700000000000003</v>
      </c>
      <c r="I103">
        <v>3</v>
      </c>
      <c r="J103">
        <v>3.33</v>
      </c>
      <c r="K103">
        <f t="shared" si="10"/>
        <v>1.859504132231404</v>
      </c>
      <c r="L103">
        <f t="shared" si="11"/>
        <v>0.894547796270442</v>
      </c>
      <c r="M103">
        <f t="shared" si="12"/>
        <v>-0.33000000000000007</v>
      </c>
    </row>
    <row r="104" spans="2:13" ht="12.75">
      <c r="B104">
        <v>5</v>
      </c>
      <c r="C104">
        <v>4.86</v>
      </c>
      <c r="D104">
        <f t="shared" si="7"/>
        <v>0.40495867768595084</v>
      </c>
      <c r="E104">
        <f t="shared" si="8"/>
        <v>0.3412833667402349</v>
      </c>
      <c r="F104">
        <f t="shared" si="9"/>
        <v>0.13999999999999968</v>
      </c>
      <c r="I104">
        <v>4</v>
      </c>
      <c r="J104">
        <v>3.47</v>
      </c>
      <c r="K104">
        <f t="shared" si="10"/>
        <v>0.13223140495867744</v>
      </c>
      <c r="L104">
        <f t="shared" si="11"/>
        <v>0.6493222929147366</v>
      </c>
      <c r="M104">
        <f t="shared" si="12"/>
        <v>0.5299999999999998</v>
      </c>
    </row>
    <row r="105" spans="2:13" ht="12.75">
      <c r="B105">
        <v>5</v>
      </c>
      <c r="C105">
        <v>4.71</v>
      </c>
      <c r="D105">
        <f t="shared" si="7"/>
        <v>0.40495867768595084</v>
      </c>
      <c r="E105">
        <f t="shared" si="8"/>
        <v>0.18852497747849012</v>
      </c>
      <c r="F105">
        <f t="shared" si="9"/>
        <v>0.29000000000000004</v>
      </c>
      <c r="I105">
        <v>4</v>
      </c>
      <c r="J105">
        <v>3.33</v>
      </c>
      <c r="K105">
        <f t="shared" si="10"/>
        <v>0.13223140495867744</v>
      </c>
      <c r="L105">
        <f t="shared" si="11"/>
        <v>0.894547796270442</v>
      </c>
      <c r="M105">
        <f t="shared" si="12"/>
        <v>0.6699999999999999</v>
      </c>
    </row>
    <row r="106" spans="2:13" ht="12.75">
      <c r="B106">
        <v>5</v>
      </c>
      <c r="C106">
        <v>5</v>
      </c>
      <c r="D106">
        <f t="shared" si="7"/>
        <v>0.40495867768595084</v>
      </c>
      <c r="E106">
        <f t="shared" si="8"/>
        <v>0.5244578633845293</v>
      </c>
      <c r="F106">
        <f t="shared" si="9"/>
        <v>0</v>
      </c>
      <c r="I106">
        <v>5</v>
      </c>
      <c r="J106">
        <v>5</v>
      </c>
      <c r="K106">
        <f t="shared" si="10"/>
        <v>0.40495867768595084</v>
      </c>
      <c r="L106">
        <f t="shared" si="11"/>
        <v>0.5244578633845293</v>
      </c>
      <c r="M106">
        <f t="shared" si="12"/>
        <v>0</v>
      </c>
    </row>
    <row r="107" spans="2:13" ht="12.75">
      <c r="B107">
        <v>3</v>
      </c>
      <c r="C107">
        <v>3.43</v>
      </c>
      <c r="D107">
        <f t="shared" si="7"/>
        <v>1.859504132231404</v>
      </c>
      <c r="E107">
        <f t="shared" si="8"/>
        <v>0.7153867224449382</v>
      </c>
      <c r="F107">
        <f t="shared" si="9"/>
        <v>-0.43000000000000016</v>
      </c>
      <c r="I107">
        <v>1</v>
      </c>
      <c r="J107">
        <v>2.31</v>
      </c>
      <c r="K107">
        <f t="shared" si="10"/>
        <v>11.314049586776857</v>
      </c>
      <c r="L107">
        <f t="shared" si="11"/>
        <v>3.8643907492905805</v>
      </c>
      <c r="M107">
        <f t="shared" si="12"/>
        <v>-1.31</v>
      </c>
    </row>
    <row r="108" spans="2:13" ht="12.75">
      <c r="B108">
        <v>3</v>
      </c>
      <c r="C108">
        <v>3.57</v>
      </c>
      <c r="D108">
        <f t="shared" si="7"/>
        <v>1.859504132231404</v>
      </c>
      <c r="E108">
        <f t="shared" si="8"/>
        <v>0.4981612190892334</v>
      </c>
      <c r="F108">
        <f t="shared" si="9"/>
        <v>-0.5699999999999998</v>
      </c>
      <c r="I108">
        <v>4</v>
      </c>
      <c r="J108">
        <v>4.17</v>
      </c>
      <c r="K108">
        <f t="shared" si="10"/>
        <v>0.13223140495867744</v>
      </c>
      <c r="L108">
        <f t="shared" si="11"/>
        <v>0.011194776136210534</v>
      </c>
      <c r="M108">
        <f t="shared" si="12"/>
        <v>-0.16999999999999993</v>
      </c>
    </row>
    <row r="109" spans="2:13" ht="12.75">
      <c r="B109">
        <v>4</v>
      </c>
      <c r="C109">
        <v>4.29</v>
      </c>
      <c r="D109">
        <f t="shared" si="7"/>
        <v>0.13223140495867744</v>
      </c>
      <c r="E109">
        <f t="shared" si="8"/>
        <v>0.00020148754560599593</v>
      </c>
      <c r="F109">
        <f t="shared" si="9"/>
        <v>-0.29000000000000004</v>
      </c>
      <c r="I109">
        <v>5</v>
      </c>
      <c r="J109">
        <v>4.33</v>
      </c>
      <c r="K109">
        <f t="shared" si="10"/>
        <v>0.40495867768595084</v>
      </c>
      <c r="L109">
        <f t="shared" si="11"/>
        <v>0.0029370580154044947</v>
      </c>
      <c r="M109">
        <f t="shared" si="12"/>
        <v>0.6699999999999999</v>
      </c>
    </row>
    <row r="110" spans="2:13" ht="12.75">
      <c r="B110">
        <v>5</v>
      </c>
      <c r="C110">
        <v>3.71</v>
      </c>
      <c r="D110">
        <f t="shared" si="7"/>
        <v>0.40495867768595084</v>
      </c>
      <c r="E110">
        <f t="shared" si="8"/>
        <v>0.3201357157335279</v>
      </c>
      <c r="F110">
        <f t="shared" si="9"/>
        <v>1.29</v>
      </c>
      <c r="I110">
        <v>4</v>
      </c>
      <c r="J110">
        <v>4.42</v>
      </c>
      <c r="K110">
        <f t="shared" si="10"/>
        <v>0.13223140495867744</v>
      </c>
      <c r="L110">
        <f t="shared" si="11"/>
        <v>0.020792091572451075</v>
      </c>
      <c r="M110">
        <f t="shared" si="12"/>
        <v>-0.41999999999999993</v>
      </c>
    </row>
    <row r="111" spans="2:13" ht="12.75">
      <c r="B111">
        <v>5</v>
      </c>
      <c r="C111">
        <v>5</v>
      </c>
      <c r="D111">
        <f t="shared" si="7"/>
        <v>0.40495867768595084</v>
      </c>
      <c r="E111">
        <f t="shared" si="8"/>
        <v>0.5244578633845293</v>
      </c>
      <c r="F111">
        <f t="shared" si="9"/>
        <v>0</v>
      </c>
      <c r="I111">
        <v>4</v>
      </c>
      <c r="J111">
        <v>4.75</v>
      </c>
      <c r="K111">
        <f t="shared" si="10"/>
        <v>0.13223140495867744</v>
      </c>
      <c r="L111">
        <f t="shared" si="11"/>
        <v>0.22486054794828866</v>
      </c>
      <c r="M111">
        <f t="shared" si="12"/>
        <v>-0.75</v>
      </c>
    </row>
    <row r="112" spans="2:13" ht="12.75">
      <c r="B112">
        <v>5</v>
      </c>
      <c r="C112">
        <v>5</v>
      </c>
      <c r="D112">
        <f t="shared" si="7"/>
        <v>0.40495867768595084</v>
      </c>
      <c r="E112">
        <f t="shared" si="8"/>
        <v>0.5244578633845293</v>
      </c>
      <c r="F112">
        <f t="shared" si="9"/>
        <v>0</v>
      </c>
      <c r="I112">
        <v>4</v>
      </c>
      <c r="J112">
        <v>3.72</v>
      </c>
      <c r="K112">
        <f t="shared" si="10"/>
        <v>0.13223140495867744</v>
      </c>
      <c r="L112">
        <f t="shared" si="11"/>
        <v>0.30891960835097726</v>
      </c>
      <c r="M112">
        <f t="shared" si="12"/>
        <v>0.2799999999999998</v>
      </c>
    </row>
    <row r="113" spans="2:13" ht="12.75">
      <c r="B113">
        <v>4</v>
      </c>
      <c r="C113">
        <v>3.83</v>
      </c>
      <c r="D113">
        <f t="shared" si="7"/>
        <v>0.13223140495867744</v>
      </c>
      <c r="E113">
        <f t="shared" si="8"/>
        <v>0.19874242714292328</v>
      </c>
      <c r="F113">
        <f t="shared" si="9"/>
        <v>0.16999999999999993</v>
      </c>
      <c r="I113">
        <v>4</v>
      </c>
      <c r="J113">
        <v>3.36</v>
      </c>
      <c r="K113">
        <f t="shared" si="10"/>
        <v>0.13223140495867744</v>
      </c>
      <c r="L113">
        <f t="shared" si="11"/>
        <v>0.8386994741227913</v>
      </c>
      <c r="M113">
        <f t="shared" si="12"/>
        <v>0.6400000000000001</v>
      </c>
    </row>
    <row r="114" spans="2:13" ht="12.75">
      <c r="B114">
        <v>4</v>
      </c>
      <c r="C114">
        <v>4.14</v>
      </c>
      <c r="D114">
        <f t="shared" si="7"/>
        <v>0.13223140495867744</v>
      </c>
      <c r="E114">
        <f t="shared" si="8"/>
        <v>0.018443098283861738</v>
      </c>
      <c r="F114">
        <f t="shared" si="9"/>
        <v>-0.13999999999999968</v>
      </c>
      <c r="I114">
        <v>3</v>
      </c>
      <c r="J114">
        <v>3.33</v>
      </c>
      <c r="K114">
        <f t="shared" si="10"/>
        <v>1.859504132231404</v>
      </c>
      <c r="L114">
        <f t="shared" si="11"/>
        <v>0.894547796270442</v>
      </c>
      <c r="M114">
        <f t="shared" si="12"/>
        <v>-0.33000000000000007</v>
      </c>
    </row>
    <row r="115" spans="2:13" ht="12.75">
      <c r="B115">
        <v>5</v>
      </c>
      <c r="C115">
        <v>4.57</v>
      </c>
      <c r="D115">
        <f t="shared" si="7"/>
        <v>0.40495867768595084</v>
      </c>
      <c r="E115">
        <f t="shared" si="8"/>
        <v>0.0865504808341956</v>
      </c>
      <c r="F115">
        <f t="shared" si="9"/>
        <v>0.4299999999999997</v>
      </c>
      <c r="I115">
        <v>4</v>
      </c>
      <c r="J115">
        <v>3.39</v>
      </c>
      <c r="K115">
        <f t="shared" si="10"/>
        <v>0.13223140495867744</v>
      </c>
      <c r="L115">
        <f t="shared" si="11"/>
        <v>0.7846511519751397</v>
      </c>
      <c r="M115">
        <f t="shared" si="12"/>
        <v>0.6099999999999999</v>
      </c>
    </row>
    <row r="116" spans="2:13" ht="12.75">
      <c r="B116">
        <v>4</v>
      </c>
      <c r="C116">
        <v>3.71</v>
      </c>
      <c r="D116">
        <f t="shared" si="7"/>
        <v>0.13223140495867744</v>
      </c>
      <c r="E116">
        <f t="shared" si="8"/>
        <v>0.3201357157335279</v>
      </c>
      <c r="F116">
        <f t="shared" si="9"/>
        <v>0.29000000000000004</v>
      </c>
      <c r="I116">
        <v>3</v>
      </c>
      <c r="J116">
        <v>3.36</v>
      </c>
      <c r="K116">
        <f t="shared" si="10"/>
        <v>1.859504132231404</v>
      </c>
      <c r="L116">
        <f t="shared" si="11"/>
        <v>0.8386994741227913</v>
      </c>
      <c r="M116">
        <f t="shared" si="12"/>
        <v>-0.3599999999999999</v>
      </c>
    </row>
    <row r="117" spans="2:13" ht="12.75">
      <c r="B117">
        <v>3</v>
      </c>
      <c r="C117">
        <v>3</v>
      </c>
      <c r="D117">
        <f t="shared" si="7"/>
        <v>1.859504132231404</v>
      </c>
      <c r="E117">
        <f t="shared" si="8"/>
        <v>1.6276793398946046</v>
      </c>
      <c r="F117">
        <f t="shared" si="9"/>
        <v>0</v>
      </c>
      <c r="I117">
        <v>4</v>
      </c>
      <c r="J117">
        <v>4.31</v>
      </c>
      <c r="K117">
        <f t="shared" si="10"/>
        <v>0.13223140495867744</v>
      </c>
      <c r="L117">
        <f t="shared" si="11"/>
        <v>0.0011692727805052141</v>
      </c>
      <c r="M117">
        <f t="shared" si="12"/>
        <v>-0.3099999999999996</v>
      </c>
    </row>
    <row r="118" spans="2:13" ht="12.75">
      <c r="B118">
        <v>2</v>
      </c>
      <c r="C118">
        <v>3.57</v>
      </c>
      <c r="D118">
        <f t="shared" si="7"/>
        <v>5.5867768595041305</v>
      </c>
      <c r="E118">
        <f t="shared" si="8"/>
        <v>0.4981612190892334</v>
      </c>
      <c r="F118">
        <f t="shared" si="9"/>
        <v>-1.5699999999999998</v>
      </c>
      <c r="I118">
        <v>4</v>
      </c>
      <c r="J118">
        <v>3.25</v>
      </c>
      <c r="K118">
        <f t="shared" si="10"/>
        <v>0.13223140495867744</v>
      </c>
      <c r="L118">
        <f t="shared" si="11"/>
        <v>1.0522766553308451</v>
      </c>
      <c r="M118">
        <f t="shared" si="12"/>
        <v>0.75</v>
      </c>
    </row>
    <row r="119" spans="2:13" ht="12.75">
      <c r="B119">
        <v>5</v>
      </c>
      <c r="C119">
        <v>5</v>
      </c>
      <c r="D119">
        <f t="shared" si="7"/>
        <v>0.40495867768595084</v>
      </c>
      <c r="E119">
        <f t="shared" si="8"/>
        <v>0.5244578633845293</v>
      </c>
      <c r="F119">
        <f t="shared" si="9"/>
        <v>0</v>
      </c>
      <c r="I119">
        <v>5</v>
      </c>
      <c r="J119">
        <v>4.94</v>
      </c>
      <c r="K119">
        <f t="shared" si="10"/>
        <v>0.40495867768595084</v>
      </c>
      <c r="L119">
        <f t="shared" si="11"/>
        <v>0.441154507679832</v>
      </c>
      <c r="M119">
        <f t="shared" si="12"/>
        <v>0.05999999999999961</v>
      </c>
    </row>
    <row r="120" spans="2:13" ht="12.75">
      <c r="B120">
        <v>5</v>
      </c>
      <c r="C120">
        <v>4.86</v>
      </c>
      <c r="D120">
        <f t="shared" si="7"/>
        <v>0.40495867768595084</v>
      </c>
      <c r="E120">
        <f t="shared" si="8"/>
        <v>0.3412833667402349</v>
      </c>
      <c r="F120">
        <f t="shared" si="9"/>
        <v>0.13999999999999968</v>
      </c>
      <c r="I120">
        <v>3</v>
      </c>
      <c r="J120">
        <v>3.61</v>
      </c>
      <c r="K120">
        <f t="shared" si="10"/>
        <v>1.859504132231404</v>
      </c>
      <c r="L120">
        <f t="shared" si="11"/>
        <v>0.4432967895590318</v>
      </c>
      <c r="M120">
        <f t="shared" si="12"/>
        <v>-0.6099999999999999</v>
      </c>
    </row>
    <row r="121" spans="2:13" ht="12.75">
      <c r="B121">
        <v>3</v>
      </c>
      <c r="C121">
        <v>3.43</v>
      </c>
      <c r="D121">
        <f t="shared" si="7"/>
        <v>1.859504132231404</v>
      </c>
      <c r="E121">
        <f t="shared" si="8"/>
        <v>0.7153867224449382</v>
      </c>
      <c r="F121">
        <f t="shared" si="9"/>
        <v>-0.43000000000000016</v>
      </c>
      <c r="I121">
        <v>3</v>
      </c>
      <c r="J121">
        <v>3.11</v>
      </c>
      <c r="K121">
        <f t="shared" si="10"/>
        <v>1.859504132231404</v>
      </c>
      <c r="L121">
        <f t="shared" si="11"/>
        <v>1.3591021586865508</v>
      </c>
      <c r="M121">
        <f t="shared" si="12"/>
        <v>-0.10999999999999988</v>
      </c>
    </row>
    <row r="122" spans="2:13" ht="12.75">
      <c r="B122">
        <v>4</v>
      </c>
      <c r="C122">
        <v>3.57</v>
      </c>
      <c r="D122">
        <f t="shared" si="7"/>
        <v>0.13223140495867744</v>
      </c>
      <c r="E122">
        <f t="shared" si="8"/>
        <v>0.4981612190892334</v>
      </c>
      <c r="F122">
        <f t="shared" si="9"/>
        <v>0.43000000000000016</v>
      </c>
      <c r="I122">
        <v>3</v>
      </c>
      <c r="J122">
        <v>3.31</v>
      </c>
      <c r="K122">
        <f t="shared" si="10"/>
        <v>1.859504132231404</v>
      </c>
      <c r="L122">
        <f t="shared" si="11"/>
        <v>0.9327800110355429</v>
      </c>
      <c r="M122">
        <f t="shared" si="12"/>
        <v>-0.31000000000000005</v>
      </c>
    </row>
    <row r="123" spans="2:13" ht="12.75">
      <c r="B123">
        <v>5</v>
      </c>
      <c r="C123">
        <v>4.86</v>
      </c>
      <c r="D123">
        <f t="shared" si="7"/>
        <v>0.40495867768595084</v>
      </c>
      <c r="E123">
        <f t="shared" si="8"/>
        <v>0.3412833667402349</v>
      </c>
      <c r="F123">
        <f t="shared" si="9"/>
        <v>0.13999999999999968</v>
      </c>
      <c r="I123">
        <v>4</v>
      </c>
      <c r="J123">
        <v>3.72</v>
      </c>
      <c r="K123">
        <f t="shared" si="10"/>
        <v>0.13223140495867744</v>
      </c>
      <c r="L123">
        <f t="shared" si="11"/>
        <v>0.30891960835097726</v>
      </c>
      <c r="M123">
        <f t="shared" si="12"/>
        <v>0.2799999999999998</v>
      </c>
    </row>
    <row r="124" spans="2:13" ht="12.75">
      <c r="B124">
        <v>5</v>
      </c>
      <c r="C124">
        <v>4.57</v>
      </c>
      <c r="D124">
        <f t="shared" si="7"/>
        <v>0.40495867768595084</v>
      </c>
      <c r="E124">
        <f t="shared" si="8"/>
        <v>0.0865504808341956</v>
      </c>
      <c r="F124">
        <f t="shared" si="9"/>
        <v>0.4299999999999997</v>
      </c>
      <c r="I124">
        <v>3</v>
      </c>
      <c r="J124">
        <v>3.19</v>
      </c>
      <c r="K124">
        <f t="shared" si="10"/>
        <v>1.859504132231404</v>
      </c>
      <c r="L124">
        <f t="shared" si="11"/>
        <v>1.1789732996261475</v>
      </c>
      <c r="M124">
        <f t="shared" si="12"/>
        <v>-0.18999999999999995</v>
      </c>
    </row>
    <row r="125" spans="2:13" ht="12.75">
      <c r="B125">
        <v>3</v>
      </c>
      <c r="C125">
        <v>4</v>
      </c>
      <c r="D125">
        <f t="shared" si="7"/>
        <v>1.859504132231404</v>
      </c>
      <c r="E125">
        <f t="shared" si="8"/>
        <v>0.07606860163956693</v>
      </c>
      <c r="F125">
        <f t="shared" si="9"/>
        <v>-1</v>
      </c>
      <c r="I125">
        <v>1</v>
      </c>
      <c r="J125">
        <v>2.31</v>
      </c>
      <c r="K125">
        <f t="shared" si="10"/>
        <v>11.314049586776857</v>
      </c>
      <c r="L125">
        <f t="shared" si="11"/>
        <v>3.8643907492905805</v>
      </c>
      <c r="M125">
        <f t="shared" si="12"/>
        <v>-1.31</v>
      </c>
    </row>
    <row r="126" spans="2:13" ht="12.75">
      <c r="B126">
        <v>4</v>
      </c>
      <c r="C126">
        <v>3.43</v>
      </c>
      <c r="D126">
        <f t="shared" si="7"/>
        <v>0.13223140495867744</v>
      </c>
      <c r="E126">
        <f t="shared" si="8"/>
        <v>0.7153867224449382</v>
      </c>
      <c r="F126">
        <f t="shared" si="9"/>
        <v>0.5699999999999998</v>
      </c>
      <c r="I126">
        <v>3</v>
      </c>
      <c r="J126">
        <v>2.56</v>
      </c>
      <c r="K126">
        <f t="shared" si="10"/>
        <v>1.859504132231404</v>
      </c>
      <c r="L126">
        <f t="shared" si="11"/>
        <v>2.943988064726821</v>
      </c>
      <c r="M126">
        <f t="shared" si="12"/>
        <v>0.43999999999999995</v>
      </c>
    </row>
    <row r="127" spans="2:13" ht="12.75">
      <c r="B127">
        <v>3</v>
      </c>
      <c r="C127">
        <v>2</v>
      </c>
      <c r="D127">
        <f t="shared" si="7"/>
        <v>1.859504132231404</v>
      </c>
      <c r="E127">
        <f t="shared" si="8"/>
        <v>5.179290078149642</v>
      </c>
      <c r="F127">
        <f t="shared" si="9"/>
        <v>1</v>
      </c>
      <c r="I127">
        <v>3</v>
      </c>
      <c r="J127">
        <v>2.94</v>
      </c>
      <c r="K127">
        <f t="shared" si="10"/>
        <v>1.859504132231404</v>
      </c>
      <c r="L127">
        <f t="shared" si="11"/>
        <v>1.784375984189907</v>
      </c>
      <c r="M127">
        <f t="shared" si="12"/>
        <v>0.06000000000000005</v>
      </c>
    </row>
    <row r="128" spans="2:13" ht="12.75">
      <c r="B128">
        <v>5</v>
      </c>
      <c r="C128">
        <v>5</v>
      </c>
      <c r="D128">
        <f t="shared" si="7"/>
        <v>0.40495867768595084</v>
      </c>
      <c r="E128">
        <f t="shared" si="8"/>
        <v>0.5244578633845293</v>
      </c>
      <c r="F128">
        <f t="shared" si="9"/>
        <v>0</v>
      </c>
      <c r="I128">
        <v>3</v>
      </c>
      <c r="J128">
        <v>3.17</v>
      </c>
      <c r="K128">
        <f t="shared" si="10"/>
        <v>1.859504132231404</v>
      </c>
      <c r="L128">
        <f t="shared" si="11"/>
        <v>1.2228055143912484</v>
      </c>
      <c r="M128">
        <f t="shared" si="12"/>
        <v>-0.16999999999999993</v>
      </c>
    </row>
    <row r="129" spans="2:13" ht="12.75">
      <c r="B129">
        <v>5</v>
      </c>
      <c r="C129">
        <v>4.43</v>
      </c>
      <c r="D129">
        <f t="shared" si="7"/>
        <v>0.40495867768595084</v>
      </c>
      <c r="E129">
        <f t="shared" si="8"/>
        <v>0.02377598418990063</v>
      </c>
      <c r="F129">
        <f t="shared" si="9"/>
        <v>0.5700000000000003</v>
      </c>
      <c r="I129">
        <v>4</v>
      </c>
      <c r="J129">
        <v>3.58</v>
      </c>
      <c r="K129">
        <f t="shared" si="10"/>
        <v>0.13223140495867744</v>
      </c>
      <c r="L129">
        <f t="shared" si="11"/>
        <v>0.4841451117066827</v>
      </c>
      <c r="M129">
        <f t="shared" si="12"/>
        <v>0.41999999999999993</v>
      </c>
    </row>
    <row r="130" spans="2:13" ht="12.75">
      <c r="B130">
        <v>3</v>
      </c>
      <c r="C130">
        <v>5</v>
      </c>
      <c r="D130">
        <f t="shared" si="7"/>
        <v>1.859504132231404</v>
      </c>
      <c r="E130">
        <f t="shared" si="8"/>
        <v>0.5244578633845293</v>
      </c>
      <c r="F130">
        <f t="shared" si="9"/>
        <v>-2</v>
      </c>
      <c r="I130">
        <v>4</v>
      </c>
      <c r="J130">
        <v>3.03</v>
      </c>
      <c r="K130">
        <f t="shared" si="10"/>
        <v>0.13223140495867744</v>
      </c>
      <c r="L130">
        <f t="shared" si="11"/>
        <v>1.552031017746954</v>
      </c>
      <c r="M130">
        <f t="shared" si="12"/>
        <v>0.9700000000000002</v>
      </c>
    </row>
    <row r="131" spans="2:13" ht="12.75">
      <c r="B131">
        <v>5</v>
      </c>
      <c r="C131">
        <v>5</v>
      </c>
      <c r="D131">
        <f aca="true" t="shared" si="13" ref="D131:D194">(B131-$B$304)^2</f>
        <v>0.40495867768595084</v>
      </c>
      <c r="E131">
        <f aca="true" t="shared" si="14" ref="E131:E194">(C131-$C$304)^2</f>
        <v>0.5244578633845293</v>
      </c>
      <c r="F131">
        <f aca="true" t="shared" si="15" ref="F131:F194">B131-C131</f>
        <v>0</v>
      </c>
      <c r="I131">
        <v>4</v>
      </c>
      <c r="J131">
        <v>3.36</v>
      </c>
      <c r="K131">
        <f aca="true" t="shared" si="16" ref="K131:K194">(I131-$B$304)^2</f>
        <v>0.13223140495867744</v>
      </c>
      <c r="L131">
        <f aca="true" t="shared" si="17" ref="L131:L194">(J131-$C$304)^2</f>
        <v>0.8386994741227913</v>
      </c>
      <c r="M131">
        <f t="shared" si="12"/>
        <v>0.6400000000000001</v>
      </c>
    </row>
    <row r="132" spans="2:13" ht="12.75">
      <c r="B132">
        <v>3</v>
      </c>
      <c r="C132">
        <v>4.17</v>
      </c>
      <c r="D132">
        <f t="shared" si="13"/>
        <v>1.859504132231404</v>
      </c>
      <c r="E132">
        <f t="shared" si="14"/>
        <v>0.011194776136210534</v>
      </c>
      <c r="F132">
        <f t="shared" si="15"/>
        <v>-1.17</v>
      </c>
      <c r="I132">
        <v>4</v>
      </c>
      <c r="J132">
        <v>3.67</v>
      </c>
      <c r="K132">
        <f t="shared" si="16"/>
        <v>0.13223140495867744</v>
      </c>
      <c r="L132">
        <f t="shared" si="17"/>
        <v>0.3670001452637295</v>
      </c>
      <c r="M132">
        <f t="shared" si="12"/>
        <v>0.33000000000000007</v>
      </c>
    </row>
    <row r="133" spans="2:13" ht="12.75">
      <c r="B133">
        <v>4</v>
      </c>
      <c r="C133">
        <v>3.71</v>
      </c>
      <c r="D133">
        <f t="shared" si="13"/>
        <v>0.13223140495867744</v>
      </c>
      <c r="E133">
        <f t="shared" si="14"/>
        <v>0.3201357157335279</v>
      </c>
      <c r="F133">
        <f t="shared" si="15"/>
        <v>0.29000000000000004</v>
      </c>
      <c r="I133">
        <v>4</v>
      </c>
      <c r="J133">
        <v>3.47</v>
      </c>
      <c r="K133">
        <f t="shared" si="16"/>
        <v>0.13223140495867744</v>
      </c>
      <c r="L133">
        <f t="shared" si="17"/>
        <v>0.6493222929147366</v>
      </c>
      <c r="M133">
        <f t="shared" si="12"/>
        <v>0.5299999999999998</v>
      </c>
    </row>
    <row r="134" spans="2:13" ht="12.75">
      <c r="B134">
        <v>5</v>
      </c>
      <c r="C134">
        <v>5</v>
      </c>
      <c r="D134">
        <f t="shared" si="13"/>
        <v>0.40495867768595084</v>
      </c>
      <c r="E134">
        <f t="shared" si="14"/>
        <v>0.5244578633845293</v>
      </c>
      <c r="F134">
        <f t="shared" si="15"/>
        <v>0</v>
      </c>
      <c r="I134">
        <v>3</v>
      </c>
      <c r="J134">
        <v>3.22</v>
      </c>
      <c r="K134">
        <f t="shared" si="16"/>
        <v>1.859504132231404</v>
      </c>
      <c r="L134">
        <f t="shared" si="17"/>
        <v>1.114724977478496</v>
      </c>
      <c r="M134">
        <f t="shared" si="12"/>
        <v>-0.2200000000000002</v>
      </c>
    </row>
    <row r="135" spans="2:12" ht="12.75">
      <c r="B135" t="s">
        <v>355</v>
      </c>
      <c r="C135" t="s">
        <v>355</v>
      </c>
      <c r="D135" t="e">
        <f t="shared" si="13"/>
        <v>#VALUE!</v>
      </c>
      <c r="E135" t="e">
        <f t="shared" si="14"/>
        <v>#VALUE!</v>
      </c>
      <c r="I135">
        <v>3</v>
      </c>
      <c r="J135">
        <v>3.31</v>
      </c>
      <c r="K135">
        <f t="shared" si="16"/>
        <v>1.859504132231404</v>
      </c>
      <c r="L135">
        <f t="shared" si="17"/>
        <v>0.9327800110355429</v>
      </c>
    </row>
    <row r="136" spans="2:12" ht="12.75">
      <c r="B136" t="s">
        <v>355</v>
      </c>
      <c r="C136" t="s">
        <v>355</v>
      </c>
      <c r="D136" t="e">
        <f t="shared" si="13"/>
        <v>#VALUE!</v>
      </c>
      <c r="E136" t="e">
        <f t="shared" si="14"/>
        <v>#VALUE!</v>
      </c>
      <c r="I136">
        <v>3</v>
      </c>
      <c r="J136">
        <v>3.22</v>
      </c>
      <c r="K136">
        <f t="shared" si="16"/>
        <v>1.859504132231404</v>
      </c>
      <c r="L136">
        <f t="shared" si="17"/>
        <v>1.114724977478496</v>
      </c>
    </row>
    <row r="137" spans="2:13" ht="12.75">
      <c r="B137">
        <v>4</v>
      </c>
      <c r="C137">
        <v>4.57</v>
      </c>
      <c r="D137">
        <f t="shared" si="13"/>
        <v>0.13223140495867744</v>
      </c>
      <c r="E137">
        <f t="shared" si="14"/>
        <v>0.0865504808341956</v>
      </c>
      <c r="F137">
        <f t="shared" si="15"/>
        <v>-0.5700000000000003</v>
      </c>
      <c r="I137">
        <v>3</v>
      </c>
      <c r="J137">
        <v>3.58</v>
      </c>
      <c r="K137">
        <f t="shared" si="16"/>
        <v>1.859504132231404</v>
      </c>
      <c r="L137">
        <f t="shared" si="17"/>
        <v>0.4841451117066827</v>
      </c>
      <c r="M137">
        <f aca="true" t="shared" si="18" ref="M137:M142">I137-J137</f>
        <v>-0.5800000000000001</v>
      </c>
    </row>
    <row r="138" spans="2:13" ht="12.75">
      <c r="B138">
        <v>5</v>
      </c>
      <c r="C138">
        <v>4.86</v>
      </c>
      <c r="D138">
        <f t="shared" si="13"/>
        <v>0.40495867768595084</v>
      </c>
      <c r="E138">
        <f t="shared" si="14"/>
        <v>0.3412833667402349</v>
      </c>
      <c r="F138">
        <f t="shared" si="15"/>
        <v>0.13999999999999968</v>
      </c>
      <c r="I138">
        <v>4</v>
      </c>
      <c r="J138">
        <v>3.69</v>
      </c>
      <c r="K138">
        <f t="shared" si="16"/>
        <v>0.13223140495867744</v>
      </c>
      <c r="L138">
        <f t="shared" si="17"/>
        <v>0.3431679304986287</v>
      </c>
      <c r="M138">
        <f t="shared" si="18"/>
        <v>0.31000000000000005</v>
      </c>
    </row>
    <row r="139" spans="2:13" ht="12.75">
      <c r="B139">
        <v>5</v>
      </c>
      <c r="C139">
        <v>5</v>
      </c>
      <c r="D139">
        <f t="shared" si="13"/>
        <v>0.40495867768595084</v>
      </c>
      <c r="E139">
        <f t="shared" si="14"/>
        <v>0.5244578633845293</v>
      </c>
      <c r="F139">
        <f t="shared" si="15"/>
        <v>0</v>
      </c>
      <c r="I139">
        <v>2</v>
      </c>
      <c r="J139">
        <v>2.67</v>
      </c>
      <c r="K139">
        <f t="shared" si="16"/>
        <v>5.5867768595041305</v>
      </c>
      <c r="L139">
        <f t="shared" si="17"/>
        <v>2.5786108835187673</v>
      </c>
      <c r="M139">
        <f t="shared" si="18"/>
        <v>-0.6699999999999999</v>
      </c>
    </row>
    <row r="140" spans="2:13" ht="12.75">
      <c r="B140">
        <v>4</v>
      </c>
      <c r="C140">
        <v>4.86</v>
      </c>
      <c r="D140">
        <f t="shared" si="13"/>
        <v>0.13223140495867744</v>
      </c>
      <c r="E140">
        <f t="shared" si="14"/>
        <v>0.3412833667402349</v>
      </c>
      <c r="F140">
        <f t="shared" si="15"/>
        <v>-0.8600000000000003</v>
      </c>
      <c r="I140">
        <v>3</v>
      </c>
      <c r="J140">
        <v>2.19</v>
      </c>
      <c r="K140">
        <f t="shared" si="16"/>
        <v>1.859504132231404</v>
      </c>
      <c r="L140">
        <f t="shared" si="17"/>
        <v>4.350584037881186</v>
      </c>
      <c r="M140">
        <f t="shared" si="18"/>
        <v>0.81</v>
      </c>
    </row>
    <row r="141" spans="2:13" ht="12.75">
      <c r="B141">
        <v>5</v>
      </c>
      <c r="C141">
        <v>4.71</v>
      </c>
      <c r="D141">
        <f t="shared" si="13"/>
        <v>0.40495867768595084</v>
      </c>
      <c r="E141">
        <f t="shared" si="14"/>
        <v>0.18852497747849012</v>
      </c>
      <c r="F141">
        <f t="shared" si="15"/>
        <v>0.29000000000000004</v>
      </c>
      <c r="I141">
        <v>2</v>
      </c>
      <c r="J141">
        <v>2.28</v>
      </c>
      <c r="K141">
        <f t="shared" si="16"/>
        <v>5.5867768595041305</v>
      </c>
      <c r="L141">
        <f t="shared" si="17"/>
        <v>3.9832390714382324</v>
      </c>
      <c r="M141">
        <f t="shared" si="18"/>
        <v>-0.2799999999999998</v>
      </c>
    </row>
    <row r="142" spans="2:13" ht="12.75">
      <c r="B142">
        <v>4</v>
      </c>
      <c r="C142">
        <v>5</v>
      </c>
      <c r="D142">
        <f t="shared" si="13"/>
        <v>0.13223140495867744</v>
      </c>
      <c r="E142">
        <f t="shared" si="14"/>
        <v>0.5244578633845293</v>
      </c>
      <c r="F142">
        <f t="shared" si="15"/>
        <v>-1</v>
      </c>
      <c r="I142">
        <v>2</v>
      </c>
      <c r="J142">
        <v>2.28</v>
      </c>
      <c r="K142">
        <f t="shared" si="16"/>
        <v>5.5867768595041305</v>
      </c>
      <c r="L142">
        <f t="shared" si="17"/>
        <v>3.9832390714382324</v>
      </c>
      <c r="M142">
        <f t="shared" si="18"/>
        <v>-0.2799999999999998</v>
      </c>
    </row>
    <row r="143" spans="2:12" ht="12.75">
      <c r="B143" t="s">
        <v>355</v>
      </c>
      <c r="C143" t="s">
        <v>355</v>
      </c>
      <c r="D143" t="e">
        <f t="shared" si="13"/>
        <v>#VALUE!</v>
      </c>
      <c r="E143" t="e">
        <f t="shared" si="14"/>
        <v>#VALUE!</v>
      </c>
      <c r="I143">
        <v>1</v>
      </c>
      <c r="J143">
        <v>1.36</v>
      </c>
      <c r="K143">
        <f t="shared" si="16"/>
        <v>11.314049586776857</v>
      </c>
      <c r="L143">
        <f t="shared" si="17"/>
        <v>8.501920950632865</v>
      </c>
    </row>
    <row r="144" spans="2:13" ht="12.75">
      <c r="B144">
        <v>3</v>
      </c>
      <c r="C144">
        <v>4</v>
      </c>
      <c r="D144">
        <f t="shared" si="13"/>
        <v>1.859504132231404</v>
      </c>
      <c r="E144">
        <f t="shared" si="14"/>
        <v>0.07606860163956693</v>
      </c>
      <c r="F144">
        <f t="shared" si="15"/>
        <v>-1</v>
      </c>
      <c r="I144">
        <v>2</v>
      </c>
      <c r="J144">
        <v>3.14</v>
      </c>
      <c r="K144">
        <f t="shared" si="16"/>
        <v>5.5867768595041305</v>
      </c>
      <c r="L144">
        <f t="shared" si="17"/>
        <v>1.2900538365388992</v>
      </c>
      <c r="M144">
        <f aca="true" t="shared" si="19" ref="M144:M160">I144-J144</f>
        <v>-1.1400000000000001</v>
      </c>
    </row>
    <row r="145" spans="2:13" ht="12.75">
      <c r="B145">
        <v>5</v>
      </c>
      <c r="C145">
        <v>4.71</v>
      </c>
      <c r="D145">
        <f t="shared" si="13"/>
        <v>0.40495867768595084</v>
      </c>
      <c r="E145">
        <f t="shared" si="14"/>
        <v>0.18852497747849012</v>
      </c>
      <c r="F145">
        <f t="shared" si="15"/>
        <v>0.29000000000000004</v>
      </c>
      <c r="I145">
        <v>2</v>
      </c>
      <c r="J145">
        <v>3.47</v>
      </c>
      <c r="K145">
        <f t="shared" si="16"/>
        <v>5.5867768595041305</v>
      </c>
      <c r="L145">
        <f t="shared" si="17"/>
        <v>0.6493222929147366</v>
      </c>
      <c r="M145">
        <f t="shared" si="19"/>
        <v>-1.4700000000000002</v>
      </c>
    </row>
    <row r="146" spans="2:13" ht="12.75">
      <c r="B146">
        <v>5</v>
      </c>
      <c r="C146">
        <v>4.71</v>
      </c>
      <c r="D146">
        <f t="shared" si="13"/>
        <v>0.40495867768595084</v>
      </c>
      <c r="E146">
        <f t="shared" si="14"/>
        <v>0.18852497747849012</v>
      </c>
      <c r="F146">
        <f t="shared" si="15"/>
        <v>0.29000000000000004</v>
      </c>
      <c r="I146">
        <v>3</v>
      </c>
      <c r="J146">
        <v>3.03</v>
      </c>
      <c r="K146">
        <f t="shared" si="16"/>
        <v>1.859504132231404</v>
      </c>
      <c r="L146">
        <f t="shared" si="17"/>
        <v>1.552031017746954</v>
      </c>
      <c r="M146">
        <f t="shared" si="19"/>
        <v>-0.029999999999999805</v>
      </c>
    </row>
    <row r="147" spans="2:13" ht="12.75">
      <c r="B147">
        <v>5</v>
      </c>
      <c r="C147">
        <v>4.86</v>
      </c>
      <c r="D147">
        <f t="shared" si="13"/>
        <v>0.40495867768595084</v>
      </c>
      <c r="E147">
        <f t="shared" si="14"/>
        <v>0.3412833667402349</v>
      </c>
      <c r="F147">
        <f t="shared" si="15"/>
        <v>0.13999999999999968</v>
      </c>
      <c r="I147">
        <v>2</v>
      </c>
      <c r="J147">
        <v>2.61</v>
      </c>
      <c r="K147">
        <f t="shared" si="16"/>
        <v>5.5867768595041305</v>
      </c>
      <c r="L147">
        <f t="shared" si="17"/>
        <v>2.7749075278140696</v>
      </c>
      <c r="M147">
        <f t="shared" si="19"/>
        <v>-0.6099999999999999</v>
      </c>
    </row>
    <row r="148" spans="2:13" ht="12.75">
      <c r="B148">
        <v>5</v>
      </c>
      <c r="C148">
        <v>4.43</v>
      </c>
      <c r="D148">
        <f t="shared" si="13"/>
        <v>0.40495867768595084</v>
      </c>
      <c r="E148">
        <f t="shared" si="14"/>
        <v>0.02377598418990063</v>
      </c>
      <c r="F148">
        <f t="shared" si="15"/>
        <v>0.5700000000000003</v>
      </c>
      <c r="I148">
        <v>3</v>
      </c>
      <c r="J148">
        <v>2.92</v>
      </c>
      <c r="K148">
        <f t="shared" si="16"/>
        <v>1.859504132231404</v>
      </c>
      <c r="L148">
        <f t="shared" si="17"/>
        <v>1.8382081989550079</v>
      </c>
      <c r="M148">
        <f t="shared" si="19"/>
        <v>0.08000000000000007</v>
      </c>
    </row>
    <row r="149" spans="2:13" ht="12.75">
      <c r="B149">
        <v>5</v>
      </c>
      <c r="C149">
        <v>4.86</v>
      </c>
      <c r="D149">
        <f t="shared" si="13"/>
        <v>0.40495867768595084</v>
      </c>
      <c r="E149">
        <f t="shared" si="14"/>
        <v>0.3412833667402349</v>
      </c>
      <c r="F149">
        <f t="shared" si="15"/>
        <v>0.13999999999999968</v>
      </c>
      <c r="I149">
        <v>3</v>
      </c>
      <c r="J149">
        <v>2.86</v>
      </c>
      <c r="K149">
        <f t="shared" si="16"/>
        <v>1.859504132231404</v>
      </c>
      <c r="L149">
        <f t="shared" si="17"/>
        <v>2.0045048432503103</v>
      </c>
      <c r="M149">
        <f t="shared" si="19"/>
        <v>0.14000000000000012</v>
      </c>
    </row>
    <row r="150" spans="2:13" ht="12.75">
      <c r="B150">
        <v>5</v>
      </c>
      <c r="C150">
        <v>5</v>
      </c>
      <c r="D150">
        <f t="shared" si="13"/>
        <v>0.40495867768595084</v>
      </c>
      <c r="E150">
        <f t="shared" si="14"/>
        <v>0.5244578633845293</v>
      </c>
      <c r="F150">
        <f t="shared" si="15"/>
        <v>0</v>
      </c>
      <c r="I150">
        <v>1</v>
      </c>
      <c r="J150">
        <v>1.86</v>
      </c>
      <c r="K150">
        <f t="shared" si="16"/>
        <v>11.314049586776857</v>
      </c>
      <c r="L150">
        <f t="shared" si="17"/>
        <v>5.8361155815053465</v>
      </c>
      <c r="M150">
        <f t="shared" si="19"/>
        <v>-0.8600000000000001</v>
      </c>
    </row>
    <row r="151" spans="2:13" ht="12.75">
      <c r="B151">
        <v>4</v>
      </c>
      <c r="C151">
        <v>4.83</v>
      </c>
      <c r="D151">
        <f t="shared" si="13"/>
        <v>0.13223140495867744</v>
      </c>
      <c r="E151">
        <f t="shared" si="14"/>
        <v>0.3071316888878857</v>
      </c>
      <c r="F151">
        <f t="shared" si="15"/>
        <v>-0.8300000000000001</v>
      </c>
      <c r="I151">
        <v>3</v>
      </c>
      <c r="J151">
        <v>3.31</v>
      </c>
      <c r="K151">
        <f t="shared" si="16"/>
        <v>1.859504132231404</v>
      </c>
      <c r="L151">
        <f t="shared" si="17"/>
        <v>0.9327800110355429</v>
      </c>
      <c r="M151">
        <f t="shared" si="19"/>
        <v>-0.31000000000000005</v>
      </c>
    </row>
    <row r="152" spans="2:13" ht="12.75">
      <c r="B152">
        <v>3</v>
      </c>
      <c r="C152">
        <v>3.57</v>
      </c>
      <c r="D152">
        <f t="shared" si="13"/>
        <v>1.859504132231404</v>
      </c>
      <c r="E152">
        <f t="shared" si="14"/>
        <v>0.4981612190892334</v>
      </c>
      <c r="F152">
        <f t="shared" si="15"/>
        <v>-0.5699999999999998</v>
      </c>
      <c r="I152">
        <v>3</v>
      </c>
      <c r="J152">
        <v>2.61</v>
      </c>
      <c r="K152">
        <f t="shared" si="16"/>
        <v>1.859504132231404</v>
      </c>
      <c r="L152">
        <f t="shared" si="17"/>
        <v>2.7749075278140696</v>
      </c>
      <c r="M152">
        <f t="shared" si="19"/>
        <v>0.3900000000000001</v>
      </c>
    </row>
    <row r="153" spans="2:13" ht="12.75">
      <c r="B153">
        <v>4</v>
      </c>
      <c r="C153">
        <v>4</v>
      </c>
      <c r="D153">
        <f t="shared" si="13"/>
        <v>0.13223140495867744</v>
      </c>
      <c r="E153">
        <f t="shared" si="14"/>
        <v>0.07606860163956693</v>
      </c>
      <c r="F153">
        <f t="shared" si="15"/>
        <v>0</v>
      </c>
      <c r="I153">
        <v>3</v>
      </c>
      <c r="J153">
        <v>3.06</v>
      </c>
      <c r="K153">
        <f t="shared" si="16"/>
        <v>1.859504132231404</v>
      </c>
      <c r="L153">
        <f t="shared" si="17"/>
        <v>1.4781826955993023</v>
      </c>
      <c r="M153">
        <f t="shared" si="19"/>
        <v>-0.06000000000000005</v>
      </c>
    </row>
    <row r="154" spans="2:13" ht="12.75">
      <c r="B154">
        <v>5</v>
      </c>
      <c r="C154">
        <v>4.29</v>
      </c>
      <c r="D154">
        <f t="shared" si="13"/>
        <v>0.40495867768595084</v>
      </c>
      <c r="E154">
        <f t="shared" si="14"/>
        <v>0.00020148754560599593</v>
      </c>
      <c r="F154">
        <f t="shared" si="15"/>
        <v>0.71</v>
      </c>
      <c r="I154">
        <v>3</v>
      </c>
      <c r="J154">
        <v>3.03</v>
      </c>
      <c r="K154">
        <f t="shared" si="16"/>
        <v>1.859504132231404</v>
      </c>
      <c r="L154">
        <f t="shared" si="17"/>
        <v>1.552031017746954</v>
      </c>
      <c r="M154">
        <f t="shared" si="19"/>
        <v>-0.029999999999999805</v>
      </c>
    </row>
    <row r="155" spans="2:13" ht="12.75">
      <c r="B155">
        <v>4</v>
      </c>
      <c r="C155">
        <v>4.29</v>
      </c>
      <c r="D155">
        <f t="shared" si="13"/>
        <v>0.13223140495867744</v>
      </c>
      <c r="E155">
        <f t="shared" si="14"/>
        <v>0.00020148754560599593</v>
      </c>
      <c r="F155">
        <f t="shared" si="15"/>
        <v>-0.29000000000000004</v>
      </c>
      <c r="I155">
        <v>1</v>
      </c>
      <c r="J155">
        <v>1.94</v>
      </c>
      <c r="K155">
        <f t="shared" si="16"/>
        <v>11.314049586776857</v>
      </c>
      <c r="L155">
        <f t="shared" si="17"/>
        <v>5.455986722444945</v>
      </c>
      <c r="M155">
        <f t="shared" si="19"/>
        <v>-0.94</v>
      </c>
    </row>
    <row r="156" spans="2:13" ht="12.75">
      <c r="B156">
        <v>5</v>
      </c>
      <c r="C156">
        <v>3.83</v>
      </c>
      <c r="D156">
        <f t="shared" si="13"/>
        <v>0.40495867768595084</v>
      </c>
      <c r="E156">
        <f t="shared" si="14"/>
        <v>0.19874242714292328</v>
      </c>
      <c r="F156">
        <f t="shared" si="15"/>
        <v>1.17</v>
      </c>
      <c r="I156">
        <v>2</v>
      </c>
      <c r="J156">
        <v>2.19</v>
      </c>
      <c r="K156">
        <f t="shared" si="16"/>
        <v>5.5867768595041305</v>
      </c>
      <c r="L156">
        <f t="shared" si="17"/>
        <v>4.350584037881186</v>
      </c>
      <c r="M156">
        <f t="shared" si="19"/>
        <v>-0.18999999999999995</v>
      </c>
    </row>
    <row r="157" spans="2:13" ht="12.75">
      <c r="B157">
        <v>4</v>
      </c>
      <c r="C157">
        <v>3.8</v>
      </c>
      <c r="D157">
        <f t="shared" si="13"/>
        <v>0.13223140495867744</v>
      </c>
      <c r="E157">
        <f t="shared" si="14"/>
        <v>0.22639074929057465</v>
      </c>
      <c r="F157">
        <f t="shared" si="15"/>
        <v>0.20000000000000018</v>
      </c>
      <c r="I157">
        <v>3</v>
      </c>
      <c r="J157">
        <v>3.25</v>
      </c>
      <c r="K157">
        <f t="shared" si="16"/>
        <v>1.859504132231404</v>
      </c>
      <c r="L157">
        <f t="shared" si="17"/>
        <v>1.0522766553308451</v>
      </c>
      <c r="M157">
        <f t="shared" si="19"/>
        <v>-0.25</v>
      </c>
    </row>
    <row r="158" spans="2:13" ht="12.75">
      <c r="B158">
        <v>4</v>
      </c>
      <c r="C158">
        <v>3.71</v>
      </c>
      <c r="D158">
        <f t="shared" si="13"/>
        <v>0.13223140495867744</v>
      </c>
      <c r="E158">
        <f t="shared" si="14"/>
        <v>0.3201357157335279</v>
      </c>
      <c r="F158">
        <f t="shared" si="15"/>
        <v>0.29000000000000004</v>
      </c>
      <c r="I158">
        <v>3</v>
      </c>
      <c r="J158">
        <v>2.03</v>
      </c>
      <c r="K158">
        <f t="shared" si="16"/>
        <v>1.859504132231404</v>
      </c>
      <c r="L158">
        <f t="shared" si="17"/>
        <v>5.043641756001992</v>
      </c>
      <c r="M158">
        <f t="shared" si="19"/>
        <v>0.9700000000000002</v>
      </c>
    </row>
    <row r="159" spans="2:13" ht="12.75">
      <c r="B159">
        <v>5</v>
      </c>
      <c r="C159">
        <v>4.57</v>
      </c>
      <c r="D159">
        <f t="shared" si="13"/>
        <v>0.40495867768595084</v>
      </c>
      <c r="E159">
        <f t="shared" si="14"/>
        <v>0.0865504808341956</v>
      </c>
      <c r="F159">
        <f t="shared" si="15"/>
        <v>0.4299999999999997</v>
      </c>
      <c r="I159">
        <v>4</v>
      </c>
      <c r="J159">
        <v>3.5</v>
      </c>
      <c r="K159">
        <f t="shared" si="16"/>
        <v>0.13223140495867744</v>
      </c>
      <c r="L159">
        <f t="shared" si="17"/>
        <v>0.6018739707670858</v>
      </c>
      <c r="M159">
        <f t="shared" si="19"/>
        <v>0.5</v>
      </c>
    </row>
    <row r="160" spans="2:13" ht="12.75">
      <c r="B160">
        <v>5</v>
      </c>
      <c r="C160">
        <v>5</v>
      </c>
      <c r="D160">
        <f t="shared" si="13"/>
        <v>0.40495867768595084</v>
      </c>
      <c r="E160">
        <f t="shared" si="14"/>
        <v>0.5244578633845293</v>
      </c>
      <c r="F160">
        <f t="shared" si="15"/>
        <v>0</v>
      </c>
      <c r="I160">
        <v>4</v>
      </c>
      <c r="J160">
        <v>3.44</v>
      </c>
      <c r="K160">
        <f t="shared" si="16"/>
        <v>0.13223140495867744</v>
      </c>
      <c r="L160">
        <f t="shared" si="17"/>
        <v>0.6985706150623882</v>
      </c>
      <c r="M160">
        <f t="shared" si="19"/>
        <v>0.56</v>
      </c>
    </row>
    <row r="161" spans="2:12" ht="12.75">
      <c r="B161" t="s">
        <v>355</v>
      </c>
      <c r="C161" t="s">
        <v>355</v>
      </c>
      <c r="D161" t="e">
        <f t="shared" si="13"/>
        <v>#VALUE!</v>
      </c>
      <c r="E161" t="e">
        <f t="shared" si="14"/>
        <v>#VALUE!</v>
      </c>
      <c r="I161">
        <v>3</v>
      </c>
      <c r="J161">
        <v>3.11</v>
      </c>
      <c r="K161">
        <f t="shared" si="16"/>
        <v>1.859504132231404</v>
      </c>
      <c r="L161">
        <f t="shared" si="17"/>
        <v>1.3591021586865508</v>
      </c>
    </row>
    <row r="162" spans="2:13" ht="12.75">
      <c r="B162">
        <v>5</v>
      </c>
      <c r="C162">
        <v>4.43</v>
      </c>
      <c r="D162">
        <f t="shared" si="13"/>
        <v>0.40495867768595084</v>
      </c>
      <c r="E162">
        <f t="shared" si="14"/>
        <v>0.02377598418990063</v>
      </c>
      <c r="F162">
        <f t="shared" si="15"/>
        <v>0.5700000000000003</v>
      </c>
      <c r="I162">
        <v>4</v>
      </c>
      <c r="J162">
        <v>3.33</v>
      </c>
      <c r="K162">
        <f t="shared" si="16"/>
        <v>0.13223140495867744</v>
      </c>
      <c r="L162">
        <f t="shared" si="17"/>
        <v>0.894547796270442</v>
      </c>
      <c r="M162">
        <f aca="true" t="shared" si="20" ref="M162:M201">I162-J162</f>
        <v>0.6699999999999999</v>
      </c>
    </row>
    <row r="163" spans="2:13" ht="12.75">
      <c r="B163">
        <v>4</v>
      </c>
      <c r="C163">
        <v>4.29</v>
      </c>
      <c r="D163">
        <f t="shared" si="13"/>
        <v>0.13223140495867744</v>
      </c>
      <c r="E163">
        <f t="shared" si="14"/>
        <v>0.00020148754560599593</v>
      </c>
      <c r="F163">
        <f t="shared" si="15"/>
        <v>-0.29000000000000004</v>
      </c>
      <c r="I163">
        <v>2</v>
      </c>
      <c r="J163">
        <v>3.06</v>
      </c>
      <c r="K163">
        <f t="shared" si="16"/>
        <v>5.5867768595041305</v>
      </c>
      <c r="L163">
        <f t="shared" si="17"/>
        <v>1.4781826955993023</v>
      </c>
      <c r="M163">
        <f t="shared" si="20"/>
        <v>-1.06</v>
      </c>
    </row>
    <row r="164" spans="2:13" ht="12.75">
      <c r="B164">
        <v>4</v>
      </c>
      <c r="C164">
        <v>4.14</v>
      </c>
      <c r="D164">
        <f t="shared" si="13"/>
        <v>0.13223140495867744</v>
      </c>
      <c r="E164">
        <f t="shared" si="14"/>
        <v>0.018443098283861738</v>
      </c>
      <c r="F164">
        <f t="shared" si="15"/>
        <v>-0.13999999999999968</v>
      </c>
      <c r="I164">
        <v>3</v>
      </c>
      <c r="J164">
        <v>2.08</v>
      </c>
      <c r="K164">
        <f t="shared" si="16"/>
        <v>1.859504132231404</v>
      </c>
      <c r="L164">
        <f t="shared" si="17"/>
        <v>4.821561219089239</v>
      </c>
      <c r="M164">
        <f t="shared" si="20"/>
        <v>0.9199999999999999</v>
      </c>
    </row>
    <row r="165" spans="2:13" ht="12.75">
      <c r="B165">
        <v>5</v>
      </c>
      <c r="C165">
        <v>5</v>
      </c>
      <c r="D165">
        <f t="shared" si="13"/>
        <v>0.40495867768595084</v>
      </c>
      <c r="E165">
        <f t="shared" si="14"/>
        <v>0.5244578633845293</v>
      </c>
      <c r="F165">
        <f t="shared" si="15"/>
        <v>0</v>
      </c>
      <c r="I165">
        <v>2</v>
      </c>
      <c r="J165">
        <v>2.64</v>
      </c>
      <c r="K165">
        <f t="shared" si="16"/>
        <v>5.5867768595041305</v>
      </c>
      <c r="L165">
        <f t="shared" si="17"/>
        <v>2.6758592056664177</v>
      </c>
      <c r="M165">
        <f t="shared" si="20"/>
        <v>-0.6400000000000001</v>
      </c>
    </row>
    <row r="166" spans="2:13" ht="12.75">
      <c r="B166">
        <v>5</v>
      </c>
      <c r="C166">
        <v>3.57</v>
      </c>
      <c r="D166">
        <f t="shared" si="13"/>
        <v>0.40495867768595084</v>
      </c>
      <c r="E166">
        <f t="shared" si="14"/>
        <v>0.4981612190892334</v>
      </c>
      <c r="F166">
        <f t="shared" si="15"/>
        <v>1.4300000000000002</v>
      </c>
      <c r="I166">
        <v>1</v>
      </c>
      <c r="J166">
        <v>2.64</v>
      </c>
      <c r="K166">
        <f t="shared" si="16"/>
        <v>11.314049586776857</v>
      </c>
      <c r="L166">
        <f t="shared" si="17"/>
        <v>2.6758592056664177</v>
      </c>
      <c r="M166">
        <f t="shared" si="20"/>
        <v>-1.6400000000000001</v>
      </c>
    </row>
    <row r="167" spans="2:13" ht="12.75">
      <c r="B167">
        <v>5</v>
      </c>
      <c r="C167">
        <v>4.29</v>
      </c>
      <c r="D167">
        <f t="shared" si="13"/>
        <v>0.40495867768595084</v>
      </c>
      <c r="E167">
        <f t="shared" si="14"/>
        <v>0.00020148754560599593</v>
      </c>
      <c r="F167">
        <f t="shared" si="15"/>
        <v>0.71</v>
      </c>
      <c r="I167">
        <v>4</v>
      </c>
      <c r="J167">
        <v>4.14</v>
      </c>
      <c r="K167">
        <f t="shared" si="16"/>
        <v>0.13223140495867744</v>
      </c>
      <c r="L167">
        <f t="shared" si="17"/>
        <v>0.018443098283861738</v>
      </c>
      <c r="M167">
        <f t="shared" si="20"/>
        <v>-0.13999999999999968</v>
      </c>
    </row>
    <row r="168" spans="2:13" ht="12.75">
      <c r="B168">
        <v>5</v>
      </c>
      <c r="C168">
        <v>3.57</v>
      </c>
      <c r="D168">
        <f t="shared" si="13"/>
        <v>0.40495867768595084</v>
      </c>
      <c r="E168">
        <f t="shared" si="14"/>
        <v>0.4981612190892334</v>
      </c>
      <c r="F168">
        <f t="shared" si="15"/>
        <v>1.4300000000000002</v>
      </c>
      <c r="I168">
        <v>3</v>
      </c>
      <c r="J168">
        <v>3.11</v>
      </c>
      <c r="K168">
        <f t="shared" si="16"/>
        <v>1.859504132231404</v>
      </c>
      <c r="L168">
        <f t="shared" si="17"/>
        <v>1.3591021586865508</v>
      </c>
      <c r="M168">
        <f t="shared" si="20"/>
        <v>-0.10999999999999988</v>
      </c>
    </row>
    <row r="169" spans="2:13" ht="12.75">
      <c r="B169">
        <v>5</v>
      </c>
      <c r="C169">
        <v>5</v>
      </c>
      <c r="D169">
        <f t="shared" si="13"/>
        <v>0.40495867768595084</v>
      </c>
      <c r="E169">
        <f t="shared" si="14"/>
        <v>0.5244578633845293</v>
      </c>
      <c r="F169">
        <f t="shared" si="15"/>
        <v>0</v>
      </c>
      <c r="I169">
        <v>3</v>
      </c>
      <c r="J169">
        <v>2.75</v>
      </c>
      <c r="K169">
        <f t="shared" si="16"/>
        <v>1.859504132231404</v>
      </c>
      <c r="L169">
        <f t="shared" si="17"/>
        <v>2.328082024458364</v>
      </c>
      <c r="M169">
        <f t="shared" si="20"/>
        <v>0.25</v>
      </c>
    </row>
    <row r="170" spans="2:13" ht="12.75">
      <c r="B170">
        <v>5</v>
      </c>
      <c r="C170">
        <v>4.57</v>
      </c>
      <c r="D170">
        <f t="shared" si="13"/>
        <v>0.40495867768595084</v>
      </c>
      <c r="E170">
        <f t="shared" si="14"/>
        <v>0.0865504808341956</v>
      </c>
      <c r="F170">
        <f t="shared" si="15"/>
        <v>0.4299999999999997</v>
      </c>
      <c r="I170">
        <v>3</v>
      </c>
      <c r="J170">
        <v>3.44</v>
      </c>
      <c r="K170">
        <f t="shared" si="16"/>
        <v>1.859504132231404</v>
      </c>
      <c r="L170">
        <f t="shared" si="17"/>
        <v>0.6985706150623882</v>
      </c>
      <c r="M170">
        <f t="shared" si="20"/>
        <v>-0.43999999999999995</v>
      </c>
    </row>
    <row r="171" spans="2:13" ht="12.75">
      <c r="B171">
        <v>5</v>
      </c>
      <c r="C171">
        <v>4.29</v>
      </c>
      <c r="D171">
        <f t="shared" si="13"/>
        <v>0.40495867768595084</v>
      </c>
      <c r="E171">
        <f t="shared" si="14"/>
        <v>0.00020148754560599593</v>
      </c>
      <c r="F171">
        <f t="shared" si="15"/>
        <v>0.71</v>
      </c>
      <c r="I171">
        <v>3</v>
      </c>
      <c r="J171">
        <v>2.81</v>
      </c>
      <c r="K171">
        <f t="shared" si="16"/>
        <v>1.859504132231404</v>
      </c>
      <c r="L171">
        <f t="shared" si="17"/>
        <v>2.1485853801630617</v>
      </c>
      <c r="M171">
        <f t="shared" si="20"/>
        <v>0.18999999999999995</v>
      </c>
    </row>
    <row r="172" spans="2:13" ht="12.75">
      <c r="B172">
        <v>3</v>
      </c>
      <c r="C172">
        <v>4.5</v>
      </c>
      <c r="D172">
        <f t="shared" si="13"/>
        <v>1.859504132231404</v>
      </c>
      <c r="E172">
        <f t="shared" si="14"/>
        <v>0.050263232512048076</v>
      </c>
      <c r="F172">
        <f t="shared" si="15"/>
        <v>-1.5</v>
      </c>
      <c r="I172">
        <v>3</v>
      </c>
      <c r="J172">
        <v>3.31</v>
      </c>
      <c r="K172">
        <f t="shared" si="16"/>
        <v>1.859504132231404</v>
      </c>
      <c r="L172">
        <f t="shared" si="17"/>
        <v>0.9327800110355429</v>
      </c>
      <c r="M172">
        <f t="shared" si="20"/>
        <v>-0.31000000000000005</v>
      </c>
    </row>
    <row r="173" spans="2:13" ht="12.75">
      <c r="B173">
        <v>5</v>
      </c>
      <c r="C173">
        <v>5</v>
      </c>
      <c r="D173">
        <f t="shared" si="13"/>
        <v>0.40495867768595084</v>
      </c>
      <c r="E173">
        <f t="shared" si="14"/>
        <v>0.5244578633845293</v>
      </c>
      <c r="F173">
        <f t="shared" si="15"/>
        <v>0</v>
      </c>
      <c r="I173">
        <v>2</v>
      </c>
      <c r="J173">
        <v>2.33</v>
      </c>
      <c r="K173">
        <f t="shared" si="16"/>
        <v>5.5867768595041305</v>
      </c>
      <c r="L173">
        <f t="shared" si="17"/>
        <v>3.78615853452548</v>
      </c>
      <c r="M173">
        <f t="shared" si="20"/>
        <v>-0.33000000000000007</v>
      </c>
    </row>
    <row r="174" spans="2:13" ht="12.75">
      <c r="B174">
        <v>3</v>
      </c>
      <c r="C174">
        <v>4</v>
      </c>
      <c r="D174">
        <f t="shared" si="13"/>
        <v>1.859504132231404</v>
      </c>
      <c r="E174">
        <f t="shared" si="14"/>
        <v>0.07606860163956693</v>
      </c>
      <c r="F174">
        <f t="shared" si="15"/>
        <v>-1</v>
      </c>
      <c r="I174">
        <v>5</v>
      </c>
      <c r="J174">
        <v>3.5</v>
      </c>
      <c r="K174">
        <f t="shared" si="16"/>
        <v>0.40495867768595084</v>
      </c>
      <c r="L174">
        <f t="shared" si="17"/>
        <v>0.6018739707670858</v>
      </c>
      <c r="M174">
        <f t="shared" si="20"/>
        <v>1.5</v>
      </c>
    </row>
    <row r="175" spans="2:13" ht="12.75">
      <c r="B175">
        <v>4</v>
      </c>
      <c r="C175">
        <v>4</v>
      </c>
      <c r="D175">
        <f t="shared" si="13"/>
        <v>0.13223140495867744</v>
      </c>
      <c r="E175">
        <f t="shared" si="14"/>
        <v>0.07606860163956693</v>
      </c>
      <c r="F175">
        <f t="shared" si="15"/>
        <v>0</v>
      </c>
      <c r="I175">
        <v>4</v>
      </c>
      <c r="J175">
        <v>3.42</v>
      </c>
      <c r="K175">
        <f t="shared" si="16"/>
        <v>0.13223140495867744</v>
      </c>
      <c r="L175">
        <f t="shared" si="17"/>
        <v>0.7324028298274889</v>
      </c>
      <c r="M175">
        <f t="shared" si="20"/>
        <v>0.5800000000000001</v>
      </c>
    </row>
    <row r="176" spans="2:13" ht="12.75">
      <c r="B176">
        <v>3</v>
      </c>
      <c r="C176">
        <v>3.43</v>
      </c>
      <c r="D176">
        <f t="shared" si="13"/>
        <v>1.859504132231404</v>
      </c>
      <c r="E176">
        <f t="shared" si="14"/>
        <v>0.7153867224449382</v>
      </c>
      <c r="F176">
        <f t="shared" si="15"/>
        <v>-0.43000000000000016</v>
      </c>
      <c r="I176">
        <v>2</v>
      </c>
      <c r="J176">
        <v>2.19</v>
      </c>
      <c r="K176">
        <f t="shared" si="16"/>
        <v>5.5867768595041305</v>
      </c>
      <c r="L176">
        <f t="shared" si="17"/>
        <v>4.350584037881186</v>
      </c>
      <c r="M176">
        <f t="shared" si="20"/>
        <v>-0.18999999999999995</v>
      </c>
    </row>
    <row r="177" spans="2:13" ht="12.75">
      <c r="B177">
        <v>4</v>
      </c>
      <c r="C177">
        <v>4.43</v>
      </c>
      <c r="D177">
        <f t="shared" si="13"/>
        <v>0.13223140495867744</v>
      </c>
      <c r="E177">
        <f t="shared" si="14"/>
        <v>0.02377598418990063</v>
      </c>
      <c r="F177">
        <f t="shared" si="15"/>
        <v>-0.4299999999999997</v>
      </c>
      <c r="I177">
        <v>3</v>
      </c>
      <c r="J177">
        <v>2.86</v>
      </c>
      <c r="K177">
        <f t="shared" si="16"/>
        <v>1.859504132231404</v>
      </c>
      <c r="L177">
        <f t="shared" si="17"/>
        <v>2.0045048432503103</v>
      </c>
      <c r="M177">
        <f t="shared" si="20"/>
        <v>0.14000000000000012</v>
      </c>
    </row>
    <row r="178" spans="2:13" ht="12.75">
      <c r="B178">
        <v>5</v>
      </c>
      <c r="C178">
        <v>4.57</v>
      </c>
      <c r="D178">
        <f t="shared" si="13"/>
        <v>0.40495867768595084</v>
      </c>
      <c r="E178">
        <f t="shared" si="14"/>
        <v>0.0865504808341956</v>
      </c>
      <c r="F178">
        <f t="shared" si="15"/>
        <v>0.4299999999999997</v>
      </c>
      <c r="I178">
        <v>3</v>
      </c>
      <c r="J178">
        <v>2.36</v>
      </c>
      <c r="K178">
        <f t="shared" si="16"/>
        <v>1.859504132231404</v>
      </c>
      <c r="L178">
        <f t="shared" si="17"/>
        <v>3.6703102123778293</v>
      </c>
      <c r="M178">
        <f t="shared" si="20"/>
        <v>0.6400000000000001</v>
      </c>
    </row>
    <row r="179" spans="2:13" ht="12.75">
      <c r="B179">
        <v>4</v>
      </c>
      <c r="C179">
        <v>4.86</v>
      </c>
      <c r="D179">
        <f t="shared" si="13"/>
        <v>0.13223140495867744</v>
      </c>
      <c r="E179">
        <f t="shared" si="14"/>
        <v>0.3412833667402349</v>
      </c>
      <c r="F179">
        <f t="shared" si="15"/>
        <v>-0.8600000000000003</v>
      </c>
      <c r="I179">
        <v>3</v>
      </c>
      <c r="J179">
        <v>2.53</v>
      </c>
      <c r="K179">
        <f t="shared" si="16"/>
        <v>1.859504132231404</v>
      </c>
      <c r="L179">
        <f t="shared" si="17"/>
        <v>3.047836386874473</v>
      </c>
      <c r="M179">
        <f t="shared" si="20"/>
        <v>0.4700000000000002</v>
      </c>
    </row>
    <row r="180" spans="2:13" ht="12.75">
      <c r="B180">
        <v>4</v>
      </c>
      <c r="C180">
        <v>4.86</v>
      </c>
      <c r="D180">
        <f t="shared" si="13"/>
        <v>0.13223140495867744</v>
      </c>
      <c r="E180">
        <f t="shared" si="14"/>
        <v>0.3412833667402349</v>
      </c>
      <c r="F180">
        <f t="shared" si="15"/>
        <v>-0.8600000000000003</v>
      </c>
      <c r="I180">
        <v>3</v>
      </c>
      <c r="J180">
        <v>2.47</v>
      </c>
      <c r="K180">
        <f t="shared" si="16"/>
        <v>1.859504132231404</v>
      </c>
      <c r="L180">
        <f t="shared" si="17"/>
        <v>3.260933031169774</v>
      </c>
      <c r="M180">
        <f t="shared" si="20"/>
        <v>0.5299999999999998</v>
      </c>
    </row>
    <row r="181" spans="2:13" ht="12.75">
      <c r="B181">
        <v>4</v>
      </c>
      <c r="C181">
        <v>3.86</v>
      </c>
      <c r="D181">
        <f t="shared" si="13"/>
        <v>0.13223140495867744</v>
      </c>
      <c r="E181">
        <f t="shared" si="14"/>
        <v>0.1728941049952723</v>
      </c>
      <c r="F181">
        <f t="shared" si="15"/>
        <v>0.14000000000000012</v>
      </c>
      <c r="I181">
        <v>4</v>
      </c>
      <c r="J181">
        <v>3.56</v>
      </c>
      <c r="K181">
        <f t="shared" si="16"/>
        <v>0.13223140495867744</v>
      </c>
      <c r="L181">
        <f t="shared" si="17"/>
        <v>0.5123773264717835</v>
      </c>
      <c r="M181">
        <f t="shared" si="20"/>
        <v>0.43999999999999995</v>
      </c>
    </row>
    <row r="182" spans="2:13" ht="12.75">
      <c r="B182">
        <v>5</v>
      </c>
      <c r="C182">
        <v>4</v>
      </c>
      <c r="D182">
        <f t="shared" si="13"/>
        <v>0.40495867768595084</v>
      </c>
      <c r="E182">
        <f t="shared" si="14"/>
        <v>0.07606860163956693</v>
      </c>
      <c r="F182">
        <f t="shared" si="15"/>
        <v>1</v>
      </c>
      <c r="I182">
        <v>4</v>
      </c>
      <c r="J182">
        <v>4.25</v>
      </c>
      <c r="K182">
        <f t="shared" si="16"/>
        <v>0.13223140495867744</v>
      </c>
      <c r="L182">
        <f t="shared" si="17"/>
        <v>0.000665917075807503</v>
      </c>
      <c r="M182">
        <f t="shared" si="20"/>
        <v>-0.25</v>
      </c>
    </row>
    <row r="183" spans="2:13" ht="12.75">
      <c r="B183">
        <v>3</v>
      </c>
      <c r="C183">
        <v>4.14</v>
      </c>
      <c r="D183">
        <f t="shared" si="13"/>
        <v>1.859504132231404</v>
      </c>
      <c r="E183">
        <f t="shared" si="14"/>
        <v>0.018443098283861738</v>
      </c>
      <c r="F183">
        <f t="shared" si="15"/>
        <v>-1.1399999999999997</v>
      </c>
      <c r="I183">
        <v>3</v>
      </c>
      <c r="J183">
        <v>3</v>
      </c>
      <c r="K183">
        <f t="shared" si="16"/>
        <v>1.859504132231404</v>
      </c>
      <c r="L183">
        <f t="shared" si="17"/>
        <v>1.6276793398946046</v>
      </c>
      <c r="M183">
        <f t="shared" si="20"/>
        <v>0</v>
      </c>
    </row>
    <row r="184" spans="2:13" ht="12.75">
      <c r="B184">
        <v>4</v>
      </c>
      <c r="C184">
        <v>4.14</v>
      </c>
      <c r="D184">
        <f t="shared" si="13"/>
        <v>0.13223140495867744</v>
      </c>
      <c r="E184">
        <f t="shared" si="14"/>
        <v>0.018443098283861738</v>
      </c>
      <c r="F184">
        <f t="shared" si="15"/>
        <v>-0.13999999999999968</v>
      </c>
      <c r="I184">
        <v>3</v>
      </c>
      <c r="J184">
        <v>2.92</v>
      </c>
      <c r="K184">
        <f t="shared" si="16"/>
        <v>1.859504132231404</v>
      </c>
      <c r="L184">
        <f t="shared" si="17"/>
        <v>1.8382081989550079</v>
      </c>
      <c r="M184">
        <f t="shared" si="20"/>
        <v>0.08000000000000007</v>
      </c>
    </row>
    <row r="185" spans="2:13" ht="12.75">
      <c r="B185">
        <v>5</v>
      </c>
      <c r="C185">
        <v>4.29</v>
      </c>
      <c r="D185">
        <f t="shared" si="13"/>
        <v>0.40495867768595084</v>
      </c>
      <c r="E185">
        <f t="shared" si="14"/>
        <v>0.00020148754560599593</v>
      </c>
      <c r="F185">
        <f t="shared" si="15"/>
        <v>0.71</v>
      </c>
      <c r="I185">
        <v>4</v>
      </c>
      <c r="J185">
        <v>3.33</v>
      </c>
      <c r="K185">
        <f t="shared" si="16"/>
        <v>0.13223140495867744</v>
      </c>
      <c r="L185">
        <f t="shared" si="17"/>
        <v>0.894547796270442</v>
      </c>
      <c r="M185">
        <f t="shared" si="20"/>
        <v>0.6699999999999999</v>
      </c>
    </row>
    <row r="186" spans="2:13" ht="12.75">
      <c r="B186">
        <v>4</v>
      </c>
      <c r="C186">
        <v>4.57</v>
      </c>
      <c r="D186">
        <f t="shared" si="13"/>
        <v>0.13223140495867744</v>
      </c>
      <c r="E186">
        <f t="shared" si="14"/>
        <v>0.0865504808341956</v>
      </c>
      <c r="F186">
        <f t="shared" si="15"/>
        <v>-0.5700000000000003</v>
      </c>
      <c r="I186">
        <v>3</v>
      </c>
      <c r="J186">
        <v>3.14</v>
      </c>
      <c r="K186">
        <f t="shared" si="16"/>
        <v>1.859504132231404</v>
      </c>
      <c r="L186">
        <f t="shared" si="17"/>
        <v>1.2900538365388992</v>
      </c>
      <c r="M186">
        <f t="shared" si="20"/>
        <v>-0.14000000000000012</v>
      </c>
    </row>
    <row r="187" spans="2:13" ht="12.75">
      <c r="B187">
        <v>5</v>
      </c>
      <c r="C187">
        <v>4.86</v>
      </c>
      <c r="D187">
        <f t="shared" si="13"/>
        <v>0.40495867768595084</v>
      </c>
      <c r="E187">
        <f t="shared" si="14"/>
        <v>0.3412833667402349</v>
      </c>
      <c r="F187">
        <f t="shared" si="15"/>
        <v>0.13999999999999968</v>
      </c>
      <c r="I187">
        <v>1</v>
      </c>
      <c r="J187">
        <v>1.89</v>
      </c>
      <c r="K187">
        <f t="shared" si="16"/>
        <v>11.314049586776857</v>
      </c>
      <c r="L187">
        <f t="shared" si="17"/>
        <v>5.692067259357698</v>
      </c>
      <c r="M187">
        <f t="shared" si="20"/>
        <v>-0.8899999999999999</v>
      </c>
    </row>
    <row r="188" spans="2:13" ht="12.75">
      <c r="B188">
        <v>4</v>
      </c>
      <c r="C188">
        <v>3.86</v>
      </c>
      <c r="D188">
        <f t="shared" si="13"/>
        <v>0.13223140495867744</v>
      </c>
      <c r="E188">
        <f t="shared" si="14"/>
        <v>0.1728941049952723</v>
      </c>
      <c r="F188">
        <f t="shared" si="15"/>
        <v>0.14000000000000012</v>
      </c>
      <c r="I188">
        <v>3</v>
      </c>
      <c r="J188">
        <v>3.39</v>
      </c>
      <c r="K188">
        <f t="shared" si="16"/>
        <v>1.859504132231404</v>
      </c>
      <c r="L188">
        <f t="shared" si="17"/>
        <v>0.7846511519751397</v>
      </c>
      <c r="M188">
        <f t="shared" si="20"/>
        <v>-0.3900000000000001</v>
      </c>
    </row>
    <row r="189" spans="2:13" ht="12.75">
      <c r="B189">
        <v>3</v>
      </c>
      <c r="C189">
        <v>4.14</v>
      </c>
      <c r="D189">
        <f t="shared" si="13"/>
        <v>1.859504132231404</v>
      </c>
      <c r="E189">
        <f t="shared" si="14"/>
        <v>0.018443098283861738</v>
      </c>
      <c r="F189">
        <f t="shared" si="15"/>
        <v>-1.1399999999999997</v>
      </c>
      <c r="I189">
        <v>1</v>
      </c>
      <c r="J189">
        <v>2.97</v>
      </c>
      <c r="K189">
        <f t="shared" si="16"/>
        <v>11.314049586776857</v>
      </c>
      <c r="L189">
        <f t="shared" si="17"/>
        <v>1.7051276620422553</v>
      </c>
      <c r="M189">
        <f t="shared" si="20"/>
        <v>-1.9700000000000002</v>
      </c>
    </row>
    <row r="190" spans="2:13" ht="12.75">
      <c r="B190">
        <v>5</v>
      </c>
      <c r="C190">
        <v>4.71</v>
      </c>
      <c r="D190">
        <f t="shared" si="13"/>
        <v>0.40495867768595084</v>
      </c>
      <c r="E190">
        <f t="shared" si="14"/>
        <v>0.18852497747849012</v>
      </c>
      <c r="F190">
        <f t="shared" si="15"/>
        <v>0.29000000000000004</v>
      </c>
      <c r="I190">
        <v>4</v>
      </c>
      <c r="J190">
        <v>3.44</v>
      </c>
      <c r="K190">
        <f t="shared" si="16"/>
        <v>0.13223140495867744</v>
      </c>
      <c r="L190">
        <f t="shared" si="17"/>
        <v>0.6985706150623882</v>
      </c>
      <c r="M190">
        <f t="shared" si="20"/>
        <v>0.56</v>
      </c>
    </row>
    <row r="191" spans="2:13" ht="12.75">
      <c r="B191">
        <v>5</v>
      </c>
      <c r="C191">
        <v>5</v>
      </c>
      <c r="D191">
        <f t="shared" si="13"/>
        <v>0.40495867768595084</v>
      </c>
      <c r="E191">
        <f t="shared" si="14"/>
        <v>0.5244578633845293</v>
      </c>
      <c r="F191">
        <f t="shared" si="15"/>
        <v>0</v>
      </c>
      <c r="I191">
        <v>3</v>
      </c>
      <c r="J191">
        <v>2.89</v>
      </c>
      <c r="K191">
        <f t="shared" si="16"/>
        <v>1.859504132231404</v>
      </c>
      <c r="L191">
        <f t="shared" si="17"/>
        <v>1.9204565211026585</v>
      </c>
      <c r="M191">
        <f t="shared" si="20"/>
        <v>0.10999999999999988</v>
      </c>
    </row>
    <row r="192" spans="2:13" ht="12.75">
      <c r="B192">
        <v>4</v>
      </c>
      <c r="C192">
        <v>3.86</v>
      </c>
      <c r="D192">
        <f t="shared" si="13"/>
        <v>0.13223140495867744</v>
      </c>
      <c r="E192">
        <f t="shared" si="14"/>
        <v>0.1728941049952723</v>
      </c>
      <c r="F192">
        <f t="shared" si="15"/>
        <v>0.14000000000000012</v>
      </c>
      <c r="I192">
        <v>5</v>
      </c>
      <c r="J192">
        <v>4.53</v>
      </c>
      <c r="K192">
        <f t="shared" si="16"/>
        <v>0.40495867768595084</v>
      </c>
      <c r="L192">
        <f t="shared" si="17"/>
        <v>0.06461491036439708</v>
      </c>
      <c r="M192">
        <f t="shared" si="20"/>
        <v>0.46999999999999975</v>
      </c>
    </row>
    <row r="193" spans="2:13" ht="12.75">
      <c r="B193">
        <v>5</v>
      </c>
      <c r="C193">
        <v>5</v>
      </c>
      <c r="D193">
        <f t="shared" si="13"/>
        <v>0.40495867768595084</v>
      </c>
      <c r="E193">
        <f t="shared" si="14"/>
        <v>0.5244578633845293</v>
      </c>
      <c r="F193">
        <f t="shared" si="15"/>
        <v>0</v>
      </c>
      <c r="I193">
        <v>4</v>
      </c>
      <c r="J193">
        <v>4.03</v>
      </c>
      <c r="K193">
        <f t="shared" si="16"/>
        <v>0.13223140495867744</v>
      </c>
      <c r="L193">
        <f t="shared" si="17"/>
        <v>0.060420279491915675</v>
      </c>
      <c r="M193">
        <f t="shared" si="20"/>
        <v>-0.03000000000000025</v>
      </c>
    </row>
    <row r="194" spans="2:13" ht="12.75">
      <c r="B194">
        <v>4</v>
      </c>
      <c r="C194">
        <v>4.86</v>
      </c>
      <c r="D194">
        <f t="shared" si="13"/>
        <v>0.13223140495867744</v>
      </c>
      <c r="E194">
        <f t="shared" si="14"/>
        <v>0.3412833667402349</v>
      </c>
      <c r="F194">
        <f t="shared" si="15"/>
        <v>-0.8600000000000003</v>
      </c>
      <c r="I194">
        <v>2</v>
      </c>
      <c r="J194">
        <v>2.75</v>
      </c>
      <c r="K194">
        <f t="shared" si="16"/>
        <v>5.5867768595041305</v>
      </c>
      <c r="L194">
        <f t="shared" si="17"/>
        <v>2.328082024458364</v>
      </c>
      <c r="M194">
        <f t="shared" si="20"/>
        <v>-0.75</v>
      </c>
    </row>
    <row r="195" spans="2:13" ht="12.75">
      <c r="B195">
        <v>5</v>
      </c>
      <c r="C195">
        <v>4.14</v>
      </c>
      <c r="D195">
        <f aca="true" t="shared" si="21" ref="D195:D258">(B195-$B$304)^2</f>
        <v>0.40495867768595084</v>
      </c>
      <c r="E195">
        <f aca="true" t="shared" si="22" ref="E195:E258">(C195-$C$304)^2</f>
        <v>0.018443098283861738</v>
      </c>
      <c r="F195">
        <f aca="true" t="shared" si="23" ref="F195:F258">B195-C195</f>
        <v>0.8600000000000003</v>
      </c>
      <c r="I195">
        <v>4</v>
      </c>
      <c r="J195">
        <v>4.19</v>
      </c>
      <c r="K195">
        <f aca="true" t="shared" si="24" ref="K195:K201">(I195-$B$304)^2</f>
        <v>0.13223140495867744</v>
      </c>
      <c r="L195">
        <f aca="true" t="shared" si="25" ref="L195:L201">(J195-$C$304)^2</f>
        <v>0.007362561371109698</v>
      </c>
      <c r="M195">
        <f t="shared" si="20"/>
        <v>-0.1900000000000004</v>
      </c>
    </row>
    <row r="196" spans="2:13" ht="12.75">
      <c r="B196">
        <v>5</v>
      </c>
      <c r="C196">
        <v>4.71</v>
      </c>
      <c r="D196">
        <f t="shared" si="21"/>
        <v>0.40495867768595084</v>
      </c>
      <c r="E196">
        <f t="shared" si="22"/>
        <v>0.18852497747849012</v>
      </c>
      <c r="F196">
        <f t="shared" si="23"/>
        <v>0.29000000000000004</v>
      </c>
      <c r="I196">
        <v>4</v>
      </c>
      <c r="J196">
        <v>3.31</v>
      </c>
      <c r="K196">
        <f t="shared" si="24"/>
        <v>0.13223140495867744</v>
      </c>
      <c r="L196">
        <f t="shared" si="25"/>
        <v>0.9327800110355429</v>
      </c>
      <c r="M196">
        <f t="shared" si="20"/>
        <v>0.69</v>
      </c>
    </row>
    <row r="197" spans="2:13" ht="12.75">
      <c r="B197">
        <v>5</v>
      </c>
      <c r="C197">
        <v>4.86</v>
      </c>
      <c r="D197">
        <f t="shared" si="21"/>
        <v>0.40495867768595084</v>
      </c>
      <c r="E197">
        <f t="shared" si="22"/>
        <v>0.3412833667402349</v>
      </c>
      <c r="F197">
        <f t="shared" si="23"/>
        <v>0.13999999999999968</v>
      </c>
      <c r="I197">
        <v>3</v>
      </c>
      <c r="J197">
        <v>3.67</v>
      </c>
      <c r="K197">
        <f t="shared" si="24"/>
        <v>1.859504132231404</v>
      </c>
      <c r="L197">
        <f t="shared" si="25"/>
        <v>0.3670001452637295</v>
      </c>
      <c r="M197">
        <f t="shared" si="20"/>
        <v>-0.6699999999999999</v>
      </c>
    </row>
    <row r="198" spans="2:13" ht="12.75">
      <c r="B198">
        <v>5</v>
      </c>
      <c r="C198">
        <v>4.57</v>
      </c>
      <c r="D198">
        <f t="shared" si="21"/>
        <v>0.40495867768595084</v>
      </c>
      <c r="E198">
        <f t="shared" si="22"/>
        <v>0.0865504808341956</v>
      </c>
      <c r="F198">
        <f t="shared" si="23"/>
        <v>0.4299999999999997</v>
      </c>
      <c r="I198">
        <v>2</v>
      </c>
      <c r="J198">
        <v>2.5</v>
      </c>
      <c r="K198">
        <f t="shared" si="24"/>
        <v>5.5867768595041305</v>
      </c>
      <c r="L198">
        <f t="shared" si="25"/>
        <v>3.1534847090221234</v>
      </c>
      <c r="M198">
        <f t="shared" si="20"/>
        <v>-0.5</v>
      </c>
    </row>
    <row r="199" spans="2:13" ht="12.75">
      <c r="B199">
        <v>5</v>
      </c>
      <c r="C199">
        <v>4.86</v>
      </c>
      <c r="D199">
        <f t="shared" si="21"/>
        <v>0.40495867768595084</v>
      </c>
      <c r="E199">
        <f t="shared" si="22"/>
        <v>0.3412833667402349</v>
      </c>
      <c r="F199">
        <f t="shared" si="23"/>
        <v>0.13999999999999968</v>
      </c>
      <c r="I199">
        <v>4</v>
      </c>
      <c r="J199">
        <v>3.69</v>
      </c>
      <c r="K199">
        <f t="shared" si="24"/>
        <v>0.13223140495867744</v>
      </c>
      <c r="L199">
        <f t="shared" si="25"/>
        <v>0.3431679304986287</v>
      </c>
      <c r="M199">
        <f t="shared" si="20"/>
        <v>0.31000000000000005</v>
      </c>
    </row>
    <row r="200" spans="2:13" ht="12.75">
      <c r="B200">
        <v>4</v>
      </c>
      <c r="C200">
        <v>4</v>
      </c>
      <c r="D200">
        <f t="shared" si="21"/>
        <v>0.13223140495867744</v>
      </c>
      <c r="E200">
        <f t="shared" si="22"/>
        <v>0.07606860163956693</v>
      </c>
      <c r="F200">
        <f t="shared" si="23"/>
        <v>0</v>
      </c>
      <c r="I200">
        <v>4</v>
      </c>
      <c r="J200">
        <v>3.61</v>
      </c>
      <c r="K200">
        <f t="shared" si="24"/>
        <v>0.13223140495867744</v>
      </c>
      <c r="L200">
        <f t="shared" si="25"/>
        <v>0.4432967895590318</v>
      </c>
      <c r="M200">
        <f t="shared" si="20"/>
        <v>0.3900000000000001</v>
      </c>
    </row>
    <row r="201" spans="2:13" ht="12.75">
      <c r="B201">
        <v>4</v>
      </c>
      <c r="C201">
        <v>3.86</v>
      </c>
      <c r="D201">
        <f t="shared" si="21"/>
        <v>0.13223140495867744</v>
      </c>
      <c r="E201">
        <f t="shared" si="22"/>
        <v>0.1728941049952723</v>
      </c>
      <c r="F201">
        <f t="shared" si="23"/>
        <v>0.14000000000000012</v>
      </c>
      <c r="I201">
        <v>3</v>
      </c>
      <c r="J201">
        <v>3.22</v>
      </c>
      <c r="K201">
        <f t="shared" si="24"/>
        <v>1.859504132231404</v>
      </c>
      <c r="L201">
        <f t="shared" si="25"/>
        <v>1.114724977478496</v>
      </c>
      <c r="M201">
        <f t="shared" si="20"/>
        <v>-0.2200000000000002</v>
      </c>
    </row>
    <row r="202" spans="2:6" ht="12.75">
      <c r="B202">
        <v>5</v>
      </c>
      <c r="C202">
        <v>4.14</v>
      </c>
      <c r="D202">
        <f t="shared" si="21"/>
        <v>0.40495867768595084</v>
      </c>
      <c r="E202">
        <f t="shared" si="22"/>
        <v>0.018443098283861738</v>
      </c>
      <c r="F202">
        <f t="shared" si="23"/>
        <v>0.8600000000000003</v>
      </c>
    </row>
    <row r="203" spans="2:6" ht="12.75">
      <c r="B203">
        <v>5</v>
      </c>
      <c r="C203">
        <v>5</v>
      </c>
      <c r="D203">
        <f t="shared" si="21"/>
        <v>0.40495867768595084</v>
      </c>
      <c r="E203">
        <f t="shared" si="22"/>
        <v>0.5244578633845293</v>
      </c>
      <c r="F203">
        <f t="shared" si="23"/>
        <v>0</v>
      </c>
    </row>
    <row r="204" spans="2:6" ht="12.75">
      <c r="B204">
        <v>4</v>
      </c>
      <c r="C204">
        <v>4.71</v>
      </c>
      <c r="D204">
        <f t="shared" si="21"/>
        <v>0.13223140495867744</v>
      </c>
      <c r="E204">
        <f t="shared" si="22"/>
        <v>0.18852497747849012</v>
      </c>
      <c r="F204">
        <f t="shared" si="23"/>
        <v>-0.71</v>
      </c>
    </row>
    <row r="205" spans="2:6" ht="12.75">
      <c r="B205">
        <v>3</v>
      </c>
      <c r="C205">
        <v>3.29</v>
      </c>
      <c r="D205">
        <f t="shared" si="21"/>
        <v>1.859504132231404</v>
      </c>
      <c r="E205">
        <f t="shared" si="22"/>
        <v>0.9718122258006436</v>
      </c>
      <c r="F205">
        <f t="shared" si="23"/>
        <v>-0.29000000000000004</v>
      </c>
    </row>
    <row r="206" spans="2:6" ht="12.75">
      <c r="B206">
        <v>5</v>
      </c>
      <c r="C206">
        <v>4.71</v>
      </c>
      <c r="D206">
        <f t="shared" si="21"/>
        <v>0.40495867768595084</v>
      </c>
      <c r="E206">
        <f t="shared" si="22"/>
        <v>0.18852497747849012</v>
      </c>
      <c r="F206">
        <f t="shared" si="23"/>
        <v>0.29000000000000004</v>
      </c>
    </row>
    <row r="207" spans="2:6" ht="12.75">
      <c r="B207">
        <v>4</v>
      </c>
      <c r="C207">
        <v>3.4</v>
      </c>
      <c r="D207">
        <f t="shared" si="21"/>
        <v>0.13223140495867744</v>
      </c>
      <c r="E207">
        <f t="shared" si="22"/>
        <v>0.7670350445925898</v>
      </c>
      <c r="F207">
        <f t="shared" si="23"/>
        <v>0.6000000000000001</v>
      </c>
    </row>
    <row r="208" spans="2:6" ht="12.75">
      <c r="B208">
        <v>5</v>
      </c>
      <c r="C208">
        <v>5</v>
      </c>
      <c r="D208">
        <f t="shared" si="21"/>
        <v>0.40495867768595084</v>
      </c>
      <c r="E208">
        <f t="shared" si="22"/>
        <v>0.5244578633845293</v>
      </c>
      <c r="F208">
        <f t="shared" si="23"/>
        <v>0</v>
      </c>
    </row>
    <row r="209" spans="2:6" ht="12.75">
      <c r="B209">
        <v>5</v>
      </c>
      <c r="C209">
        <v>4.86</v>
      </c>
      <c r="D209">
        <f t="shared" si="21"/>
        <v>0.40495867768595084</v>
      </c>
      <c r="E209">
        <f t="shared" si="22"/>
        <v>0.3412833667402349</v>
      </c>
      <c r="F209">
        <f t="shared" si="23"/>
        <v>0.13999999999999968</v>
      </c>
    </row>
    <row r="210" spans="2:6" ht="12.75">
      <c r="B210">
        <v>3</v>
      </c>
      <c r="C210">
        <v>4.14</v>
      </c>
      <c r="D210">
        <f t="shared" si="21"/>
        <v>1.859504132231404</v>
      </c>
      <c r="E210">
        <f t="shared" si="22"/>
        <v>0.018443098283861738</v>
      </c>
      <c r="F210">
        <f t="shared" si="23"/>
        <v>-1.1399999999999997</v>
      </c>
    </row>
    <row r="211" spans="2:6" ht="12.75">
      <c r="B211">
        <v>5</v>
      </c>
      <c r="C211">
        <v>4.71</v>
      </c>
      <c r="D211">
        <f t="shared" si="21"/>
        <v>0.40495867768595084</v>
      </c>
      <c r="E211">
        <f t="shared" si="22"/>
        <v>0.18852497747849012</v>
      </c>
      <c r="F211">
        <f t="shared" si="23"/>
        <v>0.29000000000000004</v>
      </c>
    </row>
    <row r="212" spans="2:6" ht="12.75">
      <c r="B212">
        <v>4</v>
      </c>
      <c r="C212">
        <v>4.71</v>
      </c>
      <c r="D212">
        <f t="shared" si="21"/>
        <v>0.13223140495867744</v>
      </c>
      <c r="E212">
        <f t="shared" si="22"/>
        <v>0.18852497747849012</v>
      </c>
      <c r="F212">
        <f t="shared" si="23"/>
        <v>-0.71</v>
      </c>
    </row>
    <row r="213" spans="2:6" ht="12.75">
      <c r="B213">
        <v>5</v>
      </c>
      <c r="C213">
        <v>4.86</v>
      </c>
      <c r="D213">
        <f t="shared" si="21"/>
        <v>0.40495867768595084</v>
      </c>
      <c r="E213">
        <f t="shared" si="22"/>
        <v>0.3412833667402349</v>
      </c>
      <c r="F213">
        <f t="shared" si="23"/>
        <v>0.13999999999999968</v>
      </c>
    </row>
    <row r="214" spans="2:6" ht="12.75">
      <c r="B214">
        <v>5</v>
      </c>
      <c r="C214">
        <v>4.86</v>
      </c>
      <c r="D214">
        <f t="shared" si="21"/>
        <v>0.40495867768595084</v>
      </c>
      <c r="E214">
        <f t="shared" si="22"/>
        <v>0.3412833667402349</v>
      </c>
      <c r="F214">
        <f t="shared" si="23"/>
        <v>0.13999999999999968</v>
      </c>
    </row>
    <row r="215" spans="2:6" ht="12.75">
      <c r="B215">
        <v>3</v>
      </c>
      <c r="C215">
        <v>4</v>
      </c>
      <c r="D215">
        <f t="shared" si="21"/>
        <v>1.859504132231404</v>
      </c>
      <c r="E215">
        <f t="shared" si="22"/>
        <v>0.07606860163956693</v>
      </c>
      <c r="F215">
        <f t="shared" si="23"/>
        <v>-1</v>
      </c>
    </row>
    <row r="216" spans="2:6" ht="12.75">
      <c r="B216">
        <v>5</v>
      </c>
      <c r="C216">
        <v>4.14</v>
      </c>
      <c r="D216">
        <f t="shared" si="21"/>
        <v>0.40495867768595084</v>
      </c>
      <c r="E216">
        <f t="shared" si="22"/>
        <v>0.018443098283861738</v>
      </c>
      <c r="F216">
        <f t="shared" si="23"/>
        <v>0.8600000000000003</v>
      </c>
    </row>
    <row r="217" spans="2:6" ht="12.75">
      <c r="B217">
        <v>5</v>
      </c>
      <c r="C217">
        <v>3.86</v>
      </c>
      <c r="D217">
        <f t="shared" si="21"/>
        <v>0.40495867768595084</v>
      </c>
      <c r="E217">
        <f t="shared" si="22"/>
        <v>0.1728941049952723</v>
      </c>
      <c r="F217">
        <f t="shared" si="23"/>
        <v>1.1400000000000001</v>
      </c>
    </row>
    <row r="218" spans="2:6" ht="12.75">
      <c r="B218">
        <v>4</v>
      </c>
      <c r="C218">
        <v>4.2</v>
      </c>
      <c r="D218">
        <f t="shared" si="21"/>
        <v>0.13223140495867744</v>
      </c>
      <c r="E218">
        <f t="shared" si="22"/>
        <v>0.005746453988559361</v>
      </c>
      <c r="F218">
        <f t="shared" si="23"/>
        <v>-0.20000000000000018</v>
      </c>
    </row>
    <row r="219" spans="2:6" ht="12.75">
      <c r="B219">
        <v>5</v>
      </c>
      <c r="C219">
        <v>4.67</v>
      </c>
      <c r="D219">
        <f t="shared" si="21"/>
        <v>0.40495867768595084</v>
      </c>
      <c r="E219">
        <f t="shared" si="22"/>
        <v>0.1553894070086916</v>
      </c>
      <c r="F219">
        <f t="shared" si="23"/>
        <v>0.33000000000000007</v>
      </c>
    </row>
    <row r="220" spans="2:6" ht="12.75">
      <c r="B220">
        <v>5</v>
      </c>
      <c r="C220">
        <v>4.71</v>
      </c>
      <c r="D220">
        <f t="shared" si="21"/>
        <v>0.40495867768595084</v>
      </c>
      <c r="E220">
        <f t="shared" si="22"/>
        <v>0.18852497747849012</v>
      </c>
      <c r="F220">
        <f t="shared" si="23"/>
        <v>0.29000000000000004</v>
      </c>
    </row>
    <row r="221" spans="2:6" ht="12.75">
      <c r="B221">
        <v>3</v>
      </c>
      <c r="C221">
        <v>4.29</v>
      </c>
      <c r="D221">
        <f t="shared" si="21"/>
        <v>1.859504132231404</v>
      </c>
      <c r="E221">
        <f t="shared" si="22"/>
        <v>0.00020148754560599593</v>
      </c>
      <c r="F221">
        <f t="shared" si="23"/>
        <v>-1.29</v>
      </c>
    </row>
    <row r="222" spans="2:6" ht="12.75">
      <c r="B222">
        <v>4</v>
      </c>
      <c r="C222">
        <v>4.43</v>
      </c>
      <c r="D222">
        <f t="shared" si="21"/>
        <v>0.13223140495867744</v>
      </c>
      <c r="E222">
        <f t="shared" si="22"/>
        <v>0.02377598418990063</v>
      </c>
      <c r="F222">
        <f t="shared" si="23"/>
        <v>-0.4299999999999997</v>
      </c>
    </row>
    <row r="223" spans="2:6" ht="12.75">
      <c r="B223">
        <v>4</v>
      </c>
      <c r="C223">
        <v>4.57</v>
      </c>
      <c r="D223">
        <f t="shared" si="21"/>
        <v>0.13223140495867744</v>
      </c>
      <c r="E223">
        <f t="shared" si="22"/>
        <v>0.0865504808341956</v>
      </c>
      <c r="F223">
        <f t="shared" si="23"/>
        <v>-0.5700000000000003</v>
      </c>
    </row>
    <row r="224" spans="2:6" ht="12.75">
      <c r="B224">
        <v>4</v>
      </c>
      <c r="C224">
        <v>4.57</v>
      </c>
      <c r="D224">
        <f t="shared" si="21"/>
        <v>0.13223140495867744</v>
      </c>
      <c r="E224">
        <f t="shared" si="22"/>
        <v>0.0865504808341956</v>
      </c>
      <c r="F224">
        <f t="shared" si="23"/>
        <v>-0.5700000000000003</v>
      </c>
    </row>
    <row r="225" spans="2:6" ht="12.75">
      <c r="B225">
        <v>4</v>
      </c>
      <c r="C225">
        <v>4.29</v>
      </c>
      <c r="D225">
        <f t="shared" si="21"/>
        <v>0.13223140495867744</v>
      </c>
      <c r="E225">
        <f t="shared" si="22"/>
        <v>0.00020148754560599593</v>
      </c>
      <c r="F225">
        <f t="shared" si="23"/>
        <v>-0.29000000000000004</v>
      </c>
    </row>
    <row r="226" spans="2:6" ht="12.75">
      <c r="B226">
        <v>5</v>
      </c>
      <c r="C226">
        <v>4.57</v>
      </c>
      <c r="D226">
        <f t="shared" si="21"/>
        <v>0.40495867768595084</v>
      </c>
      <c r="E226">
        <f t="shared" si="22"/>
        <v>0.0865504808341956</v>
      </c>
      <c r="F226">
        <f t="shared" si="23"/>
        <v>0.4299999999999997</v>
      </c>
    </row>
    <row r="227" spans="2:6" ht="12.75">
      <c r="B227">
        <v>5</v>
      </c>
      <c r="C227">
        <v>4.86</v>
      </c>
      <c r="D227">
        <f t="shared" si="21"/>
        <v>0.40495867768595084</v>
      </c>
      <c r="E227">
        <f t="shared" si="22"/>
        <v>0.3412833667402349</v>
      </c>
      <c r="F227">
        <f t="shared" si="23"/>
        <v>0.13999999999999968</v>
      </c>
    </row>
    <row r="228" spans="2:6" ht="12.75">
      <c r="B228">
        <v>5</v>
      </c>
      <c r="C228">
        <v>5</v>
      </c>
      <c r="D228">
        <f t="shared" si="21"/>
        <v>0.40495867768595084</v>
      </c>
      <c r="E228">
        <f t="shared" si="22"/>
        <v>0.5244578633845293</v>
      </c>
      <c r="F228">
        <f t="shared" si="23"/>
        <v>0</v>
      </c>
    </row>
    <row r="229" spans="2:6" ht="12.75">
      <c r="B229">
        <v>4</v>
      </c>
      <c r="C229">
        <v>4.29</v>
      </c>
      <c r="D229">
        <f t="shared" si="21"/>
        <v>0.13223140495867744</v>
      </c>
      <c r="E229">
        <f t="shared" si="22"/>
        <v>0.00020148754560599593</v>
      </c>
      <c r="F229">
        <f t="shared" si="23"/>
        <v>-0.29000000000000004</v>
      </c>
    </row>
    <row r="230" spans="2:6" ht="12.75">
      <c r="B230">
        <v>4</v>
      </c>
      <c r="C230">
        <v>4.71</v>
      </c>
      <c r="D230">
        <f t="shared" si="21"/>
        <v>0.13223140495867744</v>
      </c>
      <c r="E230">
        <f t="shared" si="22"/>
        <v>0.18852497747849012</v>
      </c>
      <c r="F230">
        <f t="shared" si="23"/>
        <v>-0.71</v>
      </c>
    </row>
    <row r="231" spans="2:6" ht="12.75">
      <c r="B231">
        <v>5</v>
      </c>
      <c r="C231">
        <v>5</v>
      </c>
      <c r="D231">
        <f t="shared" si="21"/>
        <v>0.40495867768595084</v>
      </c>
      <c r="E231">
        <f t="shared" si="22"/>
        <v>0.5244578633845293</v>
      </c>
      <c r="F231">
        <f t="shared" si="23"/>
        <v>0</v>
      </c>
    </row>
    <row r="232" spans="2:6" ht="12.75">
      <c r="B232">
        <v>4</v>
      </c>
      <c r="C232">
        <v>3.86</v>
      </c>
      <c r="D232">
        <f t="shared" si="21"/>
        <v>0.13223140495867744</v>
      </c>
      <c r="E232">
        <f t="shared" si="22"/>
        <v>0.1728941049952723</v>
      </c>
      <c r="F232">
        <f t="shared" si="23"/>
        <v>0.14000000000000012</v>
      </c>
    </row>
    <row r="233" spans="2:6" ht="12.75">
      <c r="B233">
        <v>4</v>
      </c>
      <c r="C233">
        <v>4.86</v>
      </c>
      <c r="D233">
        <f t="shared" si="21"/>
        <v>0.13223140495867744</v>
      </c>
      <c r="E233">
        <f t="shared" si="22"/>
        <v>0.3412833667402349</v>
      </c>
      <c r="F233">
        <f t="shared" si="23"/>
        <v>-0.8600000000000003</v>
      </c>
    </row>
    <row r="234" spans="2:6" ht="12.75">
      <c r="B234">
        <v>5</v>
      </c>
      <c r="C234">
        <v>4.57</v>
      </c>
      <c r="D234">
        <f t="shared" si="21"/>
        <v>0.40495867768595084</v>
      </c>
      <c r="E234">
        <f t="shared" si="22"/>
        <v>0.0865504808341956</v>
      </c>
      <c r="F234">
        <f t="shared" si="23"/>
        <v>0.4299999999999997</v>
      </c>
    </row>
    <row r="235" spans="2:6" ht="12.75">
      <c r="B235">
        <v>5</v>
      </c>
      <c r="C235">
        <v>4.86</v>
      </c>
      <c r="D235">
        <f t="shared" si="21"/>
        <v>0.40495867768595084</v>
      </c>
      <c r="E235">
        <f t="shared" si="22"/>
        <v>0.3412833667402349</v>
      </c>
      <c r="F235">
        <f t="shared" si="23"/>
        <v>0.13999999999999968</v>
      </c>
    </row>
    <row r="236" spans="2:6" ht="12.75">
      <c r="B236">
        <v>5</v>
      </c>
      <c r="C236">
        <v>3</v>
      </c>
      <c r="D236">
        <f t="shared" si="21"/>
        <v>0.40495867768595084</v>
      </c>
      <c r="E236">
        <f t="shared" si="22"/>
        <v>1.6276793398946046</v>
      </c>
      <c r="F236">
        <f t="shared" si="23"/>
        <v>2</v>
      </c>
    </row>
    <row r="237" spans="2:6" ht="12.75">
      <c r="B237">
        <v>5</v>
      </c>
      <c r="C237">
        <v>3</v>
      </c>
      <c r="D237">
        <f t="shared" si="21"/>
        <v>0.40495867768595084</v>
      </c>
      <c r="E237">
        <f t="shared" si="22"/>
        <v>1.6276793398946046</v>
      </c>
      <c r="F237">
        <f t="shared" si="23"/>
        <v>2</v>
      </c>
    </row>
    <row r="238" spans="2:6" ht="12.75">
      <c r="B238">
        <v>4</v>
      </c>
      <c r="C238">
        <v>3.43</v>
      </c>
      <c r="D238">
        <f t="shared" si="21"/>
        <v>0.13223140495867744</v>
      </c>
      <c r="E238">
        <f t="shared" si="22"/>
        <v>0.7153867224449382</v>
      </c>
      <c r="F238">
        <f t="shared" si="23"/>
        <v>0.5699999999999998</v>
      </c>
    </row>
    <row r="239" spans="2:6" ht="12.75">
      <c r="B239">
        <v>5</v>
      </c>
      <c r="C239">
        <v>3.86</v>
      </c>
      <c r="D239">
        <f t="shared" si="21"/>
        <v>0.40495867768595084</v>
      </c>
      <c r="E239">
        <f t="shared" si="22"/>
        <v>0.1728941049952723</v>
      </c>
      <c r="F239">
        <f t="shared" si="23"/>
        <v>1.1400000000000001</v>
      </c>
    </row>
    <row r="240" spans="2:6" ht="12.75">
      <c r="B240">
        <v>5</v>
      </c>
      <c r="C240">
        <v>4.71</v>
      </c>
      <c r="D240">
        <f t="shared" si="21"/>
        <v>0.40495867768595084</v>
      </c>
      <c r="E240">
        <f t="shared" si="22"/>
        <v>0.18852497747849012</v>
      </c>
      <c r="F240">
        <f t="shared" si="23"/>
        <v>0.29000000000000004</v>
      </c>
    </row>
    <row r="241" spans="2:6" ht="12.75">
      <c r="B241">
        <v>3</v>
      </c>
      <c r="C241">
        <v>3</v>
      </c>
      <c r="D241">
        <f t="shared" si="21"/>
        <v>1.859504132231404</v>
      </c>
      <c r="E241">
        <f t="shared" si="22"/>
        <v>1.6276793398946046</v>
      </c>
      <c r="F241">
        <f t="shared" si="23"/>
        <v>0</v>
      </c>
    </row>
    <row r="242" spans="2:6" ht="12.75">
      <c r="B242">
        <v>3</v>
      </c>
      <c r="C242">
        <v>3.14</v>
      </c>
      <c r="D242">
        <f t="shared" si="21"/>
        <v>1.859504132231404</v>
      </c>
      <c r="E242">
        <f t="shared" si="22"/>
        <v>1.2900538365388992</v>
      </c>
      <c r="F242">
        <f t="shared" si="23"/>
        <v>-0.14000000000000012</v>
      </c>
    </row>
    <row r="243" spans="2:6" ht="12.75">
      <c r="B243">
        <v>5</v>
      </c>
      <c r="C243">
        <v>3.57</v>
      </c>
      <c r="D243">
        <f t="shared" si="21"/>
        <v>0.40495867768595084</v>
      </c>
      <c r="E243">
        <f t="shared" si="22"/>
        <v>0.4981612190892334</v>
      </c>
      <c r="F243">
        <f t="shared" si="23"/>
        <v>1.4300000000000002</v>
      </c>
    </row>
    <row r="244" spans="2:6" ht="12.75">
      <c r="B244">
        <v>5</v>
      </c>
      <c r="C244">
        <v>4.86</v>
      </c>
      <c r="D244">
        <f t="shared" si="21"/>
        <v>0.40495867768595084</v>
      </c>
      <c r="E244">
        <f t="shared" si="22"/>
        <v>0.3412833667402349</v>
      </c>
      <c r="F244">
        <f t="shared" si="23"/>
        <v>0.13999999999999968</v>
      </c>
    </row>
    <row r="245" spans="2:6" ht="12.75">
      <c r="B245">
        <v>4</v>
      </c>
      <c r="C245">
        <v>3.43</v>
      </c>
      <c r="D245">
        <f t="shared" si="21"/>
        <v>0.13223140495867744</v>
      </c>
      <c r="E245">
        <f t="shared" si="22"/>
        <v>0.7153867224449382</v>
      </c>
      <c r="F245">
        <f t="shared" si="23"/>
        <v>0.5699999999999998</v>
      </c>
    </row>
    <row r="246" spans="2:6" ht="12.75">
      <c r="B246">
        <v>4</v>
      </c>
      <c r="C246">
        <v>4.57</v>
      </c>
      <c r="D246">
        <f t="shared" si="21"/>
        <v>0.13223140495867744</v>
      </c>
      <c r="E246">
        <f t="shared" si="22"/>
        <v>0.0865504808341956</v>
      </c>
      <c r="F246">
        <f t="shared" si="23"/>
        <v>-0.5700000000000003</v>
      </c>
    </row>
    <row r="247" spans="2:6" ht="12.75">
      <c r="B247">
        <v>5</v>
      </c>
      <c r="C247">
        <v>3.86</v>
      </c>
      <c r="D247">
        <f t="shared" si="21"/>
        <v>0.40495867768595084</v>
      </c>
      <c r="E247">
        <f t="shared" si="22"/>
        <v>0.1728941049952723</v>
      </c>
      <c r="F247">
        <f t="shared" si="23"/>
        <v>1.1400000000000001</v>
      </c>
    </row>
    <row r="248" spans="2:6" ht="12.75">
      <c r="B248">
        <v>5</v>
      </c>
      <c r="C248">
        <v>3.86</v>
      </c>
      <c r="D248">
        <f t="shared" si="21"/>
        <v>0.40495867768595084</v>
      </c>
      <c r="E248">
        <f t="shared" si="22"/>
        <v>0.1728941049952723</v>
      </c>
      <c r="F248">
        <f t="shared" si="23"/>
        <v>1.1400000000000001</v>
      </c>
    </row>
    <row r="249" spans="2:6" ht="12.75">
      <c r="B249">
        <v>5</v>
      </c>
      <c r="C249">
        <v>5</v>
      </c>
      <c r="D249">
        <f t="shared" si="21"/>
        <v>0.40495867768595084</v>
      </c>
      <c r="E249">
        <f t="shared" si="22"/>
        <v>0.5244578633845293</v>
      </c>
      <c r="F249">
        <f t="shared" si="23"/>
        <v>0</v>
      </c>
    </row>
    <row r="250" spans="2:6" ht="12.75">
      <c r="B250">
        <v>5</v>
      </c>
      <c r="C250">
        <v>4.29</v>
      </c>
      <c r="D250">
        <f t="shared" si="21"/>
        <v>0.40495867768595084</v>
      </c>
      <c r="E250">
        <f t="shared" si="22"/>
        <v>0.00020148754560599593</v>
      </c>
      <c r="F250">
        <f t="shared" si="23"/>
        <v>0.71</v>
      </c>
    </row>
    <row r="251" spans="2:6" ht="12.75">
      <c r="B251">
        <v>3</v>
      </c>
      <c r="C251">
        <v>3.43</v>
      </c>
      <c r="D251">
        <f t="shared" si="21"/>
        <v>1.859504132231404</v>
      </c>
      <c r="E251">
        <f t="shared" si="22"/>
        <v>0.7153867224449382</v>
      </c>
      <c r="F251">
        <f t="shared" si="23"/>
        <v>-0.43000000000000016</v>
      </c>
    </row>
    <row r="252" spans="2:6" ht="12.75">
      <c r="B252">
        <v>2</v>
      </c>
      <c r="C252">
        <v>4.14</v>
      </c>
      <c r="D252">
        <f t="shared" si="21"/>
        <v>5.5867768595041305</v>
      </c>
      <c r="E252">
        <f t="shared" si="22"/>
        <v>0.018443098283861738</v>
      </c>
      <c r="F252">
        <f t="shared" si="23"/>
        <v>-2.1399999999999997</v>
      </c>
    </row>
    <row r="253" spans="2:6" ht="12.75">
      <c r="B253">
        <v>5</v>
      </c>
      <c r="C253">
        <v>4.86</v>
      </c>
      <c r="D253">
        <f t="shared" si="21"/>
        <v>0.40495867768595084</v>
      </c>
      <c r="E253">
        <f t="shared" si="22"/>
        <v>0.3412833667402349</v>
      </c>
      <c r="F253">
        <f t="shared" si="23"/>
        <v>0.13999999999999968</v>
      </c>
    </row>
    <row r="254" spans="2:6" ht="12.75">
      <c r="B254">
        <v>5</v>
      </c>
      <c r="C254">
        <v>4.43</v>
      </c>
      <c r="D254">
        <f t="shared" si="21"/>
        <v>0.40495867768595084</v>
      </c>
      <c r="E254">
        <f t="shared" si="22"/>
        <v>0.02377598418990063</v>
      </c>
      <c r="F254">
        <f t="shared" si="23"/>
        <v>0.5700000000000003</v>
      </c>
    </row>
    <row r="255" spans="2:6" ht="12.75">
      <c r="B255">
        <v>3</v>
      </c>
      <c r="C255">
        <v>3.43</v>
      </c>
      <c r="D255">
        <f t="shared" si="21"/>
        <v>1.859504132231404</v>
      </c>
      <c r="E255">
        <f t="shared" si="22"/>
        <v>0.7153867224449382</v>
      </c>
      <c r="F255">
        <f t="shared" si="23"/>
        <v>-0.43000000000000016</v>
      </c>
    </row>
    <row r="256" spans="2:6" ht="12.75">
      <c r="B256">
        <v>5</v>
      </c>
      <c r="C256">
        <v>4.14</v>
      </c>
      <c r="D256">
        <f t="shared" si="21"/>
        <v>0.40495867768595084</v>
      </c>
      <c r="E256">
        <f t="shared" si="22"/>
        <v>0.018443098283861738</v>
      </c>
      <c r="F256">
        <f t="shared" si="23"/>
        <v>0.8600000000000003</v>
      </c>
    </row>
    <row r="257" spans="2:6" ht="12.75">
      <c r="B257">
        <v>5</v>
      </c>
      <c r="C257">
        <v>4.86</v>
      </c>
      <c r="D257">
        <f t="shared" si="21"/>
        <v>0.40495867768595084</v>
      </c>
      <c r="E257">
        <f t="shared" si="22"/>
        <v>0.3412833667402349</v>
      </c>
      <c r="F257">
        <f t="shared" si="23"/>
        <v>0.13999999999999968</v>
      </c>
    </row>
    <row r="258" spans="2:6" ht="12.75">
      <c r="B258">
        <v>5</v>
      </c>
      <c r="C258">
        <v>5</v>
      </c>
      <c r="D258">
        <f t="shared" si="21"/>
        <v>0.40495867768595084</v>
      </c>
      <c r="E258">
        <f t="shared" si="22"/>
        <v>0.5244578633845293</v>
      </c>
      <c r="F258">
        <f t="shared" si="23"/>
        <v>0</v>
      </c>
    </row>
    <row r="259" spans="2:6" ht="12.75">
      <c r="B259">
        <v>5</v>
      </c>
      <c r="C259">
        <v>5</v>
      </c>
      <c r="D259">
        <f aca="true" t="shared" si="26" ref="D259:D303">(B259-$B$304)^2</f>
        <v>0.40495867768595084</v>
      </c>
      <c r="E259">
        <f aca="true" t="shared" si="27" ref="E259:E303">(C259-$C$304)^2</f>
        <v>0.5244578633845293</v>
      </c>
      <c r="F259">
        <f aca="true" t="shared" si="28" ref="F259:F303">B259-C259</f>
        <v>0</v>
      </c>
    </row>
    <row r="260" spans="2:6" ht="12.75">
      <c r="B260">
        <v>5</v>
      </c>
      <c r="C260">
        <v>5</v>
      </c>
      <c r="D260">
        <f t="shared" si="26"/>
        <v>0.40495867768595084</v>
      </c>
      <c r="E260">
        <f t="shared" si="27"/>
        <v>0.5244578633845293</v>
      </c>
      <c r="F260">
        <f t="shared" si="28"/>
        <v>0</v>
      </c>
    </row>
    <row r="261" spans="2:6" ht="12.75">
      <c r="B261">
        <v>5</v>
      </c>
      <c r="C261">
        <v>4.43</v>
      </c>
      <c r="D261">
        <f t="shared" si="26"/>
        <v>0.40495867768595084</v>
      </c>
      <c r="E261">
        <f t="shared" si="27"/>
        <v>0.02377598418990063</v>
      </c>
      <c r="F261">
        <f t="shared" si="28"/>
        <v>0.5700000000000003</v>
      </c>
    </row>
    <row r="262" spans="2:6" ht="12.75">
      <c r="B262">
        <v>4</v>
      </c>
      <c r="C262">
        <v>2.83</v>
      </c>
      <c r="D262">
        <f t="shared" si="26"/>
        <v>0.13223140495867744</v>
      </c>
      <c r="E262">
        <f t="shared" si="27"/>
        <v>2.090353165397961</v>
      </c>
      <c r="F262">
        <f t="shared" si="28"/>
        <v>1.17</v>
      </c>
    </row>
    <row r="263" spans="2:6" ht="12.75">
      <c r="B263">
        <v>5</v>
      </c>
      <c r="C263">
        <v>4.86</v>
      </c>
      <c r="D263">
        <f t="shared" si="26"/>
        <v>0.40495867768595084</v>
      </c>
      <c r="E263">
        <f t="shared" si="27"/>
        <v>0.3412833667402349</v>
      </c>
      <c r="F263">
        <f t="shared" si="28"/>
        <v>0.13999999999999968</v>
      </c>
    </row>
    <row r="264" spans="2:6" ht="12.75">
      <c r="B264">
        <v>2</v>
      </c>
      <c r="C264">
        <v>4</v>
      </c>
      <c r="D264">
        <f t="shared" si="26"/>
        <v>5.5867768595041305</v>
      </c>
      <c r="E264">
        <f t="shared" si="27"/>
        <v>0.07606860163956693</v>
      </c>
      <c r="F264">
        <f t="shared" si="28"/>
        <v>-2</v>
      </c>
    </row>
    <row r="265" spans="2:6" ht="12.75">
      <c r="B265">
        <v>5</v>
      </c>
      <c r="C265">
        <v>4.86</v>
      </c>
      <c r="D265">
        <f t="shared" si="26"/>
        <v>0.40495867768595084</v>
      </c>
      <c r="E265">
        <f t="shared" si="27"/>
        <v>0.3412833667402349</v>
      </c>
      <c r="F265">
        <f t="shared" si="28"/>
        <v>0.13999999999999968</v>
      </c>
    </row>
    <row r="266" spans="2:6" ht="12.75">
      <c r="B266">
        <v>5</v>
      </c>
      <c r="C266">
        <v>5</v>
      </c>
      <c r="D266">
        <f t="shared" si="26"/>
        <v>0.40495867768595084</v>
      </c>
      <c r="E266">
        <f t="shared" si="27"/>
        <v>0.5244578633845293</v>
      </c>
      <c r="F266">
        <f t="shared" si="28"/>
        <v>0</v>
      </c>
    </row>
    <row r="267" spans="2:6" ht="12.75">
      <c r="B267">
        <v>5</v>
      </c>
      <c r="C267">
        <v>4.29</v>
      </c>
      <c r="D267">
        <f t="shared" si="26"/>
        <v>0.40495867768595084</v>
      </c>
      <c r="E267">
        <f t="shared" si="27"/>
        <v>0.00020148754560599593</v>
      </c>
      <c r="F267">
        <f t="shared" si="28"/>
        <v>0.71</v>
      </c>
    </row>
    <row r="268" spans="2:6" ht="12.75">
      <c r="B268">
        <v>5</v>
      </c>
      <c r="C268">
        <v>4.14</v>
      </c>
      <c r="D268">
        <f t="shared" si="26"/>
        <v>0.40495867768595084</v>
      </c>
      <c r="E268">
        <f t="shared" si="27"/>
        <v>0.018443098283861738</v>
      </c>
      <c r="F268">
        <f t="shared" si="28"/>
        <v>0.8600000000000003</v>
      </c>
    </row>
    <row r="269" spans="2:6" ht="12.75">
      <c r="B269">
        <v>4</v>
      </c>
      <c r="C269">
        <v>3.71</v>
      </c>
      <c r="D269">
        <f t="shared" si="26"/>
        <v>0.13223140495867744</v>
      </c>
      <c r="E269">
        <f t="shared" si="27"/>
        <v>0.3201357157335279</v>
      </c>
      <c r="F269">
        <f t="shared" si="28"/>
        <v>0.29000000000000004</v>
      </c>
    </row>
    <row r="270" spans="2:6" ht="12.75">
      <c r="B270">
        <v>4</v>
      </c>
      <c r="C270">
        <v>4</v>
      </c>
      <c r="D270">
        <f t="shared" si="26"/>
        <v>0.13223140495867744</v>
      </c>
      <c r="E270">
        <f t="shared" si="27"/>
        <v>0.07606860163956693</v>
      </c>
      <c r="F270">
        <f t="shared" si="28"/>
        <v>0</v>
      </c>
    </row>
    <row r="271" spans="2:6" ht="12.75">
      <c r="B271">
        <v>5</v>
      </c>
      <c r="C271">
        <v>4.43</v>
      </c>
      <c r="D271">
        <f t="shared" si="26"/>
        <v>0.40495867768595084</v>
      </c>
      <c r="E271">
        <f t="shared" si="27"/>
        <v>0.02377598418990063</v>
      </c>
      <c r="F271">
        <f t="shared" si="28"/>
        <v>0.5700000000000003</v>
      </c>
    </row>
    <row r="272" spans="2:6" ht="12.75">
      <c r="B272">
        <v>5</v>
      </c>
      <c r="C272">
        <v>4.29</v>
      </c>
      <c r="D272">
        <f t="shared" si="26"/>
        <v>0.40495867768595084</v>
      </c>
      <c r="E272">
        <f t="shared" si="27"/>
        <v>0.00020148754560599593</v>
      </c>
      <c r="F272">
        <f t="shared" si="28"/>
        <v>0.71</v>
      </c>
    </row>
    <row r="273" spans="2:6" ht="12.75">
      <c r="B273">
        <v>4</v>
      </c>
      <c r="C273">
        <v>4.83</v>
      </c>
      <c r="D273">
        <f t="shared" si="26"/>
        <v>0.13223140495867744</v>
      </c>
      <c r="E273">
        <f t="shared" si="27"/>
        <v>0.3071316888878857</v>
      </c>
      <c r="F273">
        <f t="shared" si="28"/>
        <v>-0.8300000000000001</v>
      </c>
    </row>
    <row r="274" spans="2:6" ht="12.75">
      <c r="B274">
        <v>4</v>
      </c>
      <c r="C274">
        <v>3.71</v>
      </c>
      <c r="D274">
        <f t="shared" si="26"/>
        <v>0.13223140495867744</v>
      </c>
      <c r="E274">
        <f t="shared" si="27"/>
        <v>0.3201357157335279</v>
      </c>
      <c r="F274">
        <f t="shared" si="28"/>
        <v>0.29000000000000004</v>
      </c>
    </row>
    <row r="275" spans="2:6" ht="12.75">
      <c r="B275">
        <v>4</v>
      </c>
      <c r="C275">
        <v>5</v>
      </c>
      <c r="D275">
        <f t="shared" si="26"/>
        <v>0.13223140495867744</v>
      </c>
      <c r="E275">
        <f t="shared" si="27"/>
        <v>0.5244578633845293</v>
      </c>
      <c r="F275">
        <f t="shared" si="28"/>
        <v>-1</v>
      </c>
    </row>
    <row r="276" spans="2:6" ht="12.75">
      <c r="B276">
        <v>4</v>
      </c>
      <c r="C276">
        <v>4.71</v>
      </c>
      <c r="D276">
        <f t="shared" si="26"/>
        <v>0.13223140495867744</v>
      </c>
      <c r="E276">
        <f t="shared" si="27"/>
        <v>0.18852497747849012</v>
      </c>
      <c r="F276">
        <f t="shared" si="28"/>
        <v>-0.71</v>
      </c>
    </row>
    <row r="277" spans="2:6" ht="12.75">
      <c r="B277">
        <v>5</v>
      </c>
      <c r="C277">
        <v>5</v>
      </c>
      <c r="D277">
        <f t="shared" si="26"/>
        <v>0.40495867768595084</v>
      </c>
      <c r="E277">
        <f t="shared" si="27"/>
        <v>0.5244578633845293</v>
      </c>
      <c r="F277">
        <f t="shared" si="28"/>
        <v>0</v>
      </c>
    </row>
    <row r="278" spans="2:6" ht="12.75">
      <c r="B278">
        <v>4</v>
      </c>
      <c r="C278">
        <v>5</v>
      </c>
      <c r="D278">
        <f t="shared" si="26"/>
        <v>0.13223140495867744</v>
      </c>
      <c r="E278">
        <f t="shared" si="27"/>
        <v>0.5244578633845293</v>
      </c>
      <c r="F278">
        <f t="shared" si="28"/>
        <v>-1</v>
      </c>
    </row>
    <row r="279" spans="2:6" ht="12.75">
      <c r="B279">
        <v>5</v>
      </c>
      <c r="C279">
        <v>5</v>
      </c>
      <c r="D279">
        <f t="shared" si="26"/>
        <v>0.40495867768595084</v>
      </c>
      <c r="E279">
        <f t="shared" si="27"/>
        <v>0.5244578633845293</v>
      </c>
      <c r="F279">
        <f t="shared" si="28"/>
        <v>0</v>
      </c>
    </row>
    <row r="280" spans="2:6" ht="12.75">
      <c r="B280">
        <v>4</v>
      </c>
      <c r="C280">
        <v>3.86</v>
      </c>
      <c r="D280">
        <f t="shared" si="26"/>
        <v>0.13223140495867744</v>
      </c>
      <c r="E280">
        <f t="shared" si="27"/>
        <v>0.1728941049952723</v>
      </c>
      <c r="F280">
        <f t="shared" si="28"/>
        <v>0.14000000000000012</v>
      </c>
    </row>
    <row r="281" spans="2:6" ht="12.75">
      <c r="B281">
        <v>5</v>
      </c>
      <c r="C281">
        <v>5</v>
      </c>
      <c r="D281">
        <f t="shared" si="26"/>
        <v>0.40495867768595084</v>
      </c>
      <c r="E281">
        <f t="shared" si="27"/>
        <v>0.5244578633845293</v>
      </c>
      <c r="F281">
        <f t="shared" si="28"/>
        <v>0</v>
      </c>
    </row>
    <row r="282" spans="2:6" ht="12.75">
      <c r="B282">
        <v>5</v>
      </c>
      <c r="C282">
        <v>5</v>
      </c>
      <c r="D282">
        <f t="shared" si="26"/>
        <v>0.40495867768595084</v>
      </c>
      <c r="E282">
        <f t="shared" si="27"/>
        <v>0.5244578633845293</v>
      </c>
      <c r="F282">
        <f t="shared" si="28"/>
        <v>0</v>
      </c>
    </row>
    <row r="283" spans="2:6" ht="12.75">
      <c r="B283">
        <v>5</v>
      </c>
      <c r="C283">
        <v>4.29</v>
      </c>
      <c r="D283">
        <f t="shared" si="26"/>
        <v>0.40495867768595084</v>
      </c>
      <c r="E283">
        <f t="shared" si="27"/>
        <v>0.00020148754560599593</v>
      </c>
      <c r="F283">
        <f t="shared" si="28"/>
        <v>0.71</v>
      </c>
    </row>
    <row r="284" spans="2:6" ht="12.75">
      <c r="B284">
        <v>5</v>
      </c>
      <c r="C284">
        <v>5</v>
      </c>
      <c r="D284">
        <f t="shared" si="26"/>
        <v>0.40495867768595084</v>
      </c>
      <c r="E284">
        <f t="shared" si="27"/>
        <v>0.5244578633845293</v>
      </c>
      <c r="F284">
        <f t="shared" si="28"/>
        <v>0</v>
      </c>
    </row>
    <row r="285" spans="2:6" ht="12.75">
      <c r="B285">
        <v>4</v>
      </c>
      <c r="C285">
        <v>4.14</v>
      </c>
      <c r="D285">
        <f t="shared" si="26"/>
        <v>0.13223140495867744</v>
      </c>
      <c r="E285">
        <f t="shared" si="27"/>
        <v>0.018443098283861738</v>
      </c>
      <c r="F285">
        <f t="shared" si="28"/>
        <v>-0.13999999999999968</v>
      </c>
    </row>
    <row r="286" spans="2:6" ht="12.75">
      <c r="B286">
        <v>4</v>
      </c>
      <c r="C286">
        <v>3.67</v>
      </c>
      <c r="D286">
        <f t="shared" si="26"/>
        <v>0.13223140495867744</v>
      </c>
      <c r="E286">
        <f t="shared" si="27"/>
        <v>0.3670001452637295</v>
      </c>
      <c r="F286">
        <f t="shared" si="28"/>
        <v>0.33000000000000007</v>
      </c>
    </row>
    <row r="287" spans="2:6" ht="12.75">
      <c r="B287">
        <v>4</v>
      </c>
      <c r="C287">
        <v>4.29</v>
      </c>
      <c r="D287">
        <f t="shared" si="26"/>
        <v>0.13223140495867744</v>
      </c>
      <c r="E287">
        <f t="shared" si="27"/>
        <v>0.00020148754560599593</v>
      </c>
      <c r="F287">
        <f t="shared" si="28"/>
        <v>-0.29000000000000004</v>
      </c>
    </row>
    <row r="288" spans="2:6" ht="12.75">
      <c r="B288">
        <v>5</v>
      </c>
      <c r="C288">
        <v>4.86</v>
      </c>
      <c r="D288">
        <f t="shared" si="26"/>
        <v>0.40495867768595084</v>
      </c>
      <c r="E288">
        <f t="shared" si="27"/>
        <v>0.3412833667402349</v>
      </c>
      <c r="F288">
        <f t="shared" si="28"/>
        <v>0.13999999999999968</v>
      </c>
    </row>
    <row r="289" spans="2:6" ht="12.75">
      <c r="B289">
        <v>5</v>
      </c>
      <c r="C289">
        <v>4.29</v>
      </c>
      <c r="D289">
        <f t="shared" si="26"/>
        <v>0.40495867768595084</v>
      </c>
      <c r="E289">
        <f t="shared" si="27"/>
        <v>0.00020148754560599593</v>
      </c>
      <c r="F289">
        <f t="shared" si="28"/>
        <v>0.71</v>
      </c>
    </row>
    <row r="290" spans="2:6" ht="12.75">
      <c r="B290">
        <v>5</v>
      </c>
      <c r="C290">
        <v>4.43</v>
      </c>
      <c r="D290">
        <f t="shared" si="26"/>
        <v>0.40495867768595084</v>
      </c>
      <c r="E290">
        <f t="shared" si="27"/>
        <v>0.02377598418990063</v>
      </c>
      <c r="F290">
        <f t="shared" si="28"/>
        <v>0.5700000000000003</v>
      </c>
    </row>
    <row r="291" spans="2:6" ht="12.75">
      <c r="B291">
        <v>5</v>
      </c>
      <c r="C291">
        <v>4.67</v>
      </c>
      <c r="D291">
        <f t="shared" si="26"/>
        <v>0.40495867768595084</v>
      </c>
      <c r="E291">
        <f t="shared" si="27"/>
        <v>0.1553894070086916</v>
      </c>
      <c r="F291">
        <f t="shared" si="28"/>
        <v>0.33000000000000007</v>
      </c>
    </row>
    <row r="292" spans="2:6" ht="12.75">
      <c r="B292">
        <v>5</v>
      </c>
      <c r="C292">
        <v>5</v>
      </c>
      <c r="D292">
        <f t="shared" si="26"/>
        <v>0.40495867768595084</v>
      </c>
      <c r="E292">
        <f t="shared" si="27"/>
        <v>0.5244578633845293</v>
      </c>
      <c r="F292">
        <f t="shared" si="28"/>
        <v>0</v>
      </c>
    </row>
    <row r="293" spans="2:6" ht="12.75">
      <c r="B293">
        <v>5</v>
      </c>
      <c r="C293">
        <v>4.43</v>
      </c>
      <c r="D293">
        <f t="shared" si="26"/>
        <v>0.40495867768595084</v>
      </c>
      <c r="E293">
        <f t="shared" si="27"/>
        <v>0.02377598418990063</v>
      </c>
      <c r="F293">
        <f t="shared" si="28"/>
        <v>0.5700000000000003</v>
      </c>
    </row>
    <row r="294" spans="2:6" ht="12.75">
      <c r="B294">
        <v>4</v>
      </c>
      <c r="C294">
        <v>4.14</v>
      </c>
      <c r="D294">
        <f t="shared" si="26"/>
        <v>0.13223140495867744</v>
      </c>
      <c r="E294">
        <f t="shared" si="27"/>
        <v>0.018443098283861738</v>
      </c>
      <c r="F294">
        <f t="shared" si="28"/>
        <v>-0.13999999999999968</v>
      </c>
    </row>
    <row r="295" spans="2:6" ht="12.75">
      <c r="B295">
        <v>4</v>
      </c>
      <c r="C295">
        <v>4.71</v>
      </c>
      <c r="D295">
        <f t="shared" si="26"/>
        <v>0.13223140495867744</v>
      </c>
      <c r="E295">
        <f t="shared" si="27"/>
        <v>0.18852497747849012</v>
      </c>
      <c r="F295">
        <f t="shared" si="28"/>
        <v>-0.71</v>
      </c>
    </row>
    <row r="296" spans="2:6" ht="12.75">
      <c r="B296">
        <v>4</v>
      </c>
      <c r="C296">
        <v>4.71</v>
      </c>
      <c r="D296">
        <f t="shared" si="26"/>
        <v>0.13223140495867744</v>
      </c>
      <c r="E296">
        <f t="shared" si="27"/>
        <v>0.18852497747849012</v>
      </c>
      <c r="F296">
        <f t="shared" si="28"/>
        <v>-0.71</v>
      </c>
    </row>
    <row r="297" spans="2:6" ht="12.75">
      <c r="B297">
        <v>3</v>
      </c>
      <c r="C297">
        <v>3.2</v>
      </c>
      <c r="D297">
        <f t="shared" si="26"/>
        <v>1.859504132231404</v>
      </c>
      <c r="E297">
        <f t="shared" si="27"/>
        <v>1.1573571922435968</v>
      </c>
      <c r="F297">
        <f t="shared" si="28"/>
        <v>-0.20000000000000018</v>
      </c>
    </row>
    <row r="298" spans="2:6" ht="12.75">
      <c r="B298">
        <v>3</v>
      </c>
      <c r="C298">
        <v>3.71</v>
      </c>
      <c r="D298">
        <f t="shared" si="26"/>
        <v>1.859504132231404</v>
      </c>
      <c r="E298">
        <f t="shared" si="27"/>
        <v>0.3201357157335279</v>
      </c>
      <c r="F298">
        <f t="shared" si="28"/>
        <v>-0.71</v>
      </c>
    </row>
    <row r="299" spans="2:6" ht="12.75">
      <c r="B299">
        <v>5</v>
      </c>
      <c r="C299">
        <v>4.57</v>
      </c>
      <c r="D299">
        <f t="shared" si="26"/>
        <v>0.40495867768595084</v>
      </c>
      <c r="E299">
        <f t="shared" si="27"/>
        <v>0.0865504808341956</v>
      </c>
      <c r="F299">
        <f t="shared" si="28"/>
        <v>0.4299999999999997</v>
      </c>
    </row>
    <row r="300" spans="2:6" ht="12.75">
      <c r="B300">
        <v>5</v>
      </c>
      <c r="C300">
        <v>5</v>
      </c>
      <c r="D300">
        <f t="shared" si="26"/>
        <v>0.40495867768595084</v>
      </c>
      <c r="E300">
        <f t="shared" si="27"/>
        <v>0.5244578633845293</v>
      </c>
      <c r="F300">
        <f t="shared" si="28"/>
        <v>0</v>
      </c>
    </row>
    <row r="301" spans="2:6" ht="12.75">
      <c r="B301">
        <v>5</v>
      </c>
      <c r="C301">
        <v>5</v>
      </c>
      <c r="D301">
        <f t="shared" si="26"/>
        <v>0.40495867768595084</v>
      </c>
      <c r="E301">
        <f t="shared" si="27"/>
        <v>0.5244578633845293</v>
      </c>
      <c r="F301">
        <f t="shared" si="28"/>
        <v>0</v>
      </c>
    </row>
    <row r="302" spans="2:6" ht="12.75">
      <c r="B302">
        <v>5</v>
      </c>
      <c r="C302">
        <v>5</v>
      </c>
      <c r="D302">
        <f t="shared" si="26"/>
        <v>0.40495867768595084</v>
      </c>
      <c r="E302">
        <f t="shared" si="27"/>
        <v>0.5244578633845293</v>
      </c>
      <c r="F302">
        <f t="shared" si="28"/>
        <v>0</v>
      </c>
    </row>
    <row r="303" spans="1:12" ht="13.5" thickBot="1">
      <c r="A303" s="163"/>
      <c r="B303" s="163">
        <v>5</v>
      </c>
      <c r="C303" s="163">
        <v>4.14</v>
      </c>
      <c r="D303" s="163">
        <f t="shared" si="26"/>
        <v>0.40495867768595084</v>
      </c>
      <c r="E303" s="164">
        <f t="shared" si="27"/>
        <v>0.018443098283861738</v>
      </c>
      <c r="F303">
        <f t="shared" si="28"/>
        <v>0.8600000000000003</v>
      </c>
      <c r="H303" s="163"/>
      <c r="I303" s="163"/>
      <c r="J303" s="163"/>
      <c r="K303" s="163"/>
      <c r="L303" s="164"/>
    </row>
    <row r="304" spans="1:14" ht="12.75">
      <c r="A304" s="162" t="s">
        <v>13</v>
      </c>
      <c r="B304" s="162">
        <f>AVERAGE(B2:B303)</f>
        <v>4.363636363636363</v>
      </c>
      <c r="C304" s="162">
        <f>AVERAGE(C2:C303)</f>
        <v>4.275805369127519</v>
      </c>
      <c r="D304" s="162"/>
      <c r="E304" s="162"/>
      <c r="F304" s="175">
        <f>DEVSQ(F2:F303)</f>
        <v>127.4801784511786</v>
      </c>
      <c r="G304" s="177" t="s">
        <v>423</v>
      </c>
      <c r="H304" s="162" t="s">
        <v>13</v>
      </c>
      <c r="I304" s="162">
        <f>AVERAGE(I2:I201)</f>
        <v>3.3</v>
      </c>
      <c r="J304" s="162">
        <f>AVERAGE(J2:J201)</f>
        <v>3.3211000000000017</v>
      </c>
      <c r="K304" s="162"/>
      <c r="L304" s="162"/>
      <c r="M304" s="175">
        <f>DEVSQ(M2:M303)</f>
        <v>62.29679179487179</v>
      </c>
      <c r="N304" s="177" t="s">
        <v>423</v>
      </c>
    </row>
    <row r="305" spans="1:14" ht="12.75">
      <c r="A305" t="s">
        <v>370</v>
      </c>
      <c r="B305">
        <f>COUNTA(B2:B303)</f>
        <v>302</v>
      </c>
      <c r="C305">
        <f>COUNTA(C2:C303)</f>
        <v>302</v>
      </c>
      <c r="F305" s="176">
        <f>F304/(COUNTA(F2:F303)-1)</f>
        <v>0.43067627855127905</v>
      </c>
      <c r="G305" s="177" t="s">
        <v>218</v>
      </c>
      <c r="H305" t="s">
        <v>370</v>
      </c>
      <c r="I305">
        <f>COUNTA(I2:I303)</f>
        <v>200</v>
      </c>
      <c r="J305">
        <f>COUNTA(J2:J303)</f>
        <v>200</v>
      </c>
      <c r="M305" s="176">
        <f>M304/(COUNTA(M2:M201)-1)</f>
        <v>0.32111748347872054</v>
      </c>
      <c r="N305" s="177" t="s">
        <v>218</v>
      </c>
    </row>
    <row r="306" spans="1:14" ht="12.75">
      <c r="A306" t="s">
        <v>101</v>
      </c>
      <c r="B306">
        <f>VAR(B2:B303)</f>
        <v>0.5565110565110574</v>
      </c>
      <c r="C306">
        <f>VAR(C2:C303)</f>
        <v>0.38414766569496617</v>
      </c>
      <c r="F306" s="177">
        <f>(F305/COUNTA(F2:F303))^0.5</f>
        <v>0.03808002731052903</v>
      </c>
      <c r="G306" s="177" t="s">
        <v>371</v>
      </c>
      <c r="H306" t="s">
        <v>101</v>
      </c>
      <c r="I306">
        <f>VAR(I2:I201)</f>
        <v>0.8844221105527639</v>
      </c>
      <c r="J306">
        <f>VAR(J2:J303)</f>
        <v>0.43953747738692417</v>
      </c>
      <c r="M306" s="177">
        <f>(M305/COUNTA(M2:M201))^0.5</f>
        <v>0.04058024550852175</v>
      </c>
      <c r="N306" s="177" t="s">
        <v>371</v>
      </c>
    </row>
    <row r="307" spans="1:14" ht="12.75">
      <c r="A307" t="s">
        <v>33</v>
      </c>
      <c r="B307">
        <f>B306^0.5</f>
        <v>0.7459966866622515</v>
      </c>
      <c r="C307">
        <f>C306^0.5</f>
        <v>0.6197964711862808</v>
      </c>
      <c r="H307" t="s">
        <v>33</v>
      </c>
      <c r="I307">
        <f>I306^0.5</f>
        <v>0.9404371911790621</v>
      </c>
      <c r="J307">
        <f>J306^0.5</f>
        <v>0.6629762268640741</v>
      </c>
      <c r="M307" s="212">
        <f>M305*((I318-I317)/I318)</f>
        <v>0.31758519116045464</v>
      </c>
      <c r="N307" s="212" t="s">
        <v>473</v>
      </c>
    </row>
    <row r="308" spans="1:14" ht="12.75">
      <c r="A308" t="s">
        <v>371</v>
      </c>
      <c r="B308">
        <f>B307/(B305^0.5)</f>
        <v>0.04292728552741072</v>
      </c>
      <c r="C308">
        <f>C307/(C305^0.5)</f>
        <v>0.03566527916703866</v>
      </c>
      <c r="H308" t="s">
        <v>371</v>
      </c>
      <c r="I308">
        <f>I307/(I305^0.5)</f>
        <v>0.06649895151627444</v>
      </c>
      <c r="J308">
        <f>J307/(J305^0.5)</f>
        <v>0.04687949857810577</v>
      </c>
      <c r="M308" s="212">
        <f>(M307/COUNTA(M2:M201))^0.5</f>
        <v>0.040356436982853794</v>
      </c>
      <c r="N308" s="212" t="s">
        <v>474</v>
      </c>
    </row>
    <row r="309" spans="1:9" ht="12.75">
      <c r="A309" t="s">
        <v>373</v>
      </c>
      <c r="B309" s="6">
        <f>B306+C306</f>
        <v>0.9406587222060235</v>
      </c>
      <c r="H309" t="s">
        <v>373</v>
      </c>
      <c r="I309" s="6">
        <f>I306+J306</f>
        <v>1.323959587939688</v>
      </c>
    </row>
    <row r="310" spans="1:11" ht="12.75">
      <c r="A310" t="s">
        <v>372</v>
      </c>
      <c r="B310">
        <f>(B305-1)*B309</f>
        <v>283.13827538401307</v>
      </c>
      <c r="D310" t="s">
        <v>389</v>
      </c>
      <c r="H310" t="s">
        <v>372</v>
      </c>
      <c r="I310">
        <f>(I305-1)*I309</f>
        <v>263.4679579999979</v>
      </c>
      <c r="K310" t="s">
        <v>389</v>
      </c>
    </row>
    <row r="311" spans="1:9" ht="12.75">
      <c r="A311" t="s">
        <v>386</v>
      </c>
      <c r="B311">
        <f>AVERAGE(B2:C303)</f>
        <v>4.319647058823525</v>
      </c>
      <c r="H311" t="s">
        <v>386</v>
      </c>
      <c r="I311">
        <f>AVERAGE(I2:J303)</f>
        <v>3.310550000000001</v>
      </c>
    </row>
    <row r="312" spans="1:10" ht="12.75">
      <c r="A312" t="s">
        <v>387</v>
      </c>
      <c r="B312">
        <f>(B311-B304)^2</f>
        <v>0.001935058937916765</v>
      </c>
      <c r="C312">
        <f>(B311-C304)^2</f>
        <v>0.0019220937554009266</v>
      </c>
      <c r="H312" t="s">
        <v>387</v>
      </c>
      <c r="I312">
        <f>(I311-I304)^2</f>
        <v>0.00011130250000002467</v>
      </c>
      <c r="J312">
        <f>(I311-J304)^2</f>
        <v>0.00011130250000001531</v>
      </c>
    </row>
    <row r="313" spans="1:11" ht="12.75">
      <c r="A313" t="s">
        <v>385</v>
      </c>
      <c r="B313">
        <f>DEVSQ(B2:B303)</f>
        <v>164.7272727272731</v>
      </c>
      <c r="C313">
        <f>DEVSQ(C2:C303)</f>
        <v>114.09185671140911</v>
      </c>
      <c r="D313">
        <f>SUM(B313:C313)</f>
        <v>278.8191294386822</v>
      </c>
      <c r="H313" t="s">
        <v>385</v>
      </c>
      <c r="I313">
        <f>DEVSQ(I2:I303)</f>
        <v>176.00000000000017</v>
      </c>
      <c r="J313">
        <f>DEVSQ(J2:J303)</f>
        <v>87.46795799999998</v>
      </c>
      <c r="K313">
        <f>SUM(I313:J313)</f>
        <v>263.4679580000002</v>
      </c>
    </row>
    <row r="314" spans="1:9" ht="12.75">
      <c r="A314" t="s">
        <v>388</v>
      </c>
      <c r="B314" s="6">
        <f>B305*(B312+C312)</f>
        <v>1.1648601133819427</v>
      </c>
      <c r="H314" t="s">
        <v>388</v>
      </c>
      <c r="I314" s="6">
        <f>I305*(I312+J312)</f>
        <v>0.04452100000000799</v>
      </c>
    </row>
    <row r="315" spans="1:9" ht="12.75">
      <c r="A315" t="s">
        <v>390</v>
      </c>
      <c r="B315">
        <f>B314+B310</f>
        <v>284.30313549739503</v>
      </c>
      <c r="H315" t="s">
        <v>390</v>
      </c>
      <c r="I315">
        <f>I314+I310</f>
        <v>263.51247899999794</v>
      </c>
    </row>
    <row r="316" spans="1:9" ht="12.75">
      <c r="A316" t="s">
        <v>335</v>
      </c>
      <c r="B316">
        <f>B314/B315</f>
        <v>0.00409724680434492</v>
      </c>
      <c r="H316" t="s">
        <v>335</v>
      </c>
      <c r="I316">
        <f>I314/I315</f>
        <v>0.00016895215045966888</v>
      </c>
    </row>
    <row r="317" spans="8:9" ht="12.75">
      <c r="H317" t="s">
        <v>438</v>
      </c>
      <c r="I317">
        <v>297</v>
      </c>
    </row>
    <row r="318" spans="1:9" ht="23.25">
      <c r="A318" s="173" t="s">
        <v>403</v>
      </c>
      <c r="H318" t="s">
        <v>202</v>
      </c>
      <c r="I318">
        <v>27000</v>
      </c>
    </row>
    <row r="320" ht="23.25">
      <c r="A320" s="173" t="s">
        <v>404</v>
      </c>
    </row>
    <row r="322" ht="23.25">
      <c r="A322" s="173" t="s">
        <v>405</v>
      </c>
    </row>
    <row r="324" ht="12.75">
      <c r="A324" s="174" t="s">
        <v>406</v>
      </c>
    </row>
    <row r="325" ht="12.75">
      <c r="A325" s="174"/>
    </row>
    <row r="326" ht="12.75">
      <c r="A326" s="174" t="s">
        <v>407</v>
      </c>
    </row>
    <row r="327" ht="12.75">
      <c r="A327" s="174" t="s">
        <v>408</v>
      </c>
    </row>
    <row r="333" ht="12.75">
      <c r="A333" s="174" t="s">
        <v>409</v>
      </c>
    </row>
    <row r="334" ht="12.75">
      <c r="A334" s="174"/>
    </row>
    <row r="335" ht="12.75">
      <c r="A335" s="174" t="s">
        <v>410</v>
      </c>
    </row>
    <row r="336" ht="12.75">
      <c r="A336" s="174" t="s">
        <v>411</v>
      </c>
    </row>
    <row r="337" ht="12.75">
      <c r="A337" s="174" t="s">
        <v>412</v>
      </c>
    </row>
    <row r="338" ht="12.75">
      <c r="A338" s="174" t="s">
        <v>413</v>
      </c>
    </row>
    <row r="339" ht="12.75">
      <c r="A339" s="174" t="s">
        <v>414</v>
      </c>
    </row>
    <row r="340" ht="12.75">
      <c r="A340" s="174" t="s">
        <v>415</v>
      </c>
    </row>
    <row r="341" ht="12.75">
      <c r="A341" s="174" t="s">
        <v>416</v>
      </c>
    </row>
    <row r="344" ht="12.75">
      <c r="A344" t="s">
        <v>417</v>
      </c>
    </row>
    <row r="355" ht="12.75">
      <c r="A355" s="174" t="s">
        <v>418</v>
      </c>
    </row>
    <row r="357" ht="12.75">
      <c r="A357" s="174" t="s">
        <v>419</v>
      </c>
    </row>
    <row r="359" ht="12.75">
      <c r="A359" s="174" t="s">
        <v>420</v>
      </c>
    </row>
    <row r="361" ht="12.75">
      <c r="A361" s="174" t="s">
        <v>421</v>
      </c>
    </row>
    <row r="363" ht="12.75">
      <c r="A363" s="174" t="s">
        <v>422</v>
      </c>
    </row>
  </sheetData>
  <printOptions/>
  <pageMargins left="0.75" right="0.75" top="1" bottom="1" header="0" footer="0"/>
  <pageSetup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E16"/>
  <sheetViews>
    <sheetView workbookViewId="0" topLeftCell="A1">
      <selection activeCell="F11" sqref="F11"/>
    </sheetView>
  </sheetViews>
  <sheetFormatPr defaultColWidth="11.421875" defaultRowHeight="12.75"/>
  <sheetData>
    <row r="1" spans="1:5" ht="12.75">
      <c r="A1" t="s">
        <v>432</v>
      </c>
      <c r="B1" t="s">
        <v>433</v>
      </c>
      <c r="C1" t="s">
        <v>434</v>
      </c>
      <c r="D1" t="s">
        <v>435</v>
      </c>
      <c r="E1" t="s">
        <v>436</v>
      </c>
    </row>
    <row r="2" spans="1:5" ht="12.75">
      <c r="A2">
        <v>15</v>
      </c>
      <c r="B2">
        <v>1</v>
      </c>
      <c r="C2">
        <v>10.5</v>
      </c>
      <c r="D2">
        <v>42</v>
      </c>
      <c r="E2">
        <v>480</v>
      </c>
    </row>
    <row r="3" spans="1:5" ht="12.75">
      <c r="A3">
        <v>80</v>
      </c>
      <c r="B3">
        <v>1</v>
      </c>
      <c r="C3">
        <v>10.5</v>
      </c>
      <c r="D3">
        <v>42</v>
      </c>
      <c r="E3">
        <v>426</v>
      </c>
    </row>
    <row r="4" spans="1:5" ht="12.75">
      <c r="A4">
        <v>86</v>
      </c>
      <c r="B4">
        <v>1</v>
      </c>
      <c r="C4">
        <v>10.5</v>
      </c>
      <c r="D4">
        <v>42</v>
      </c>
      <c r="E4">
        <v>342</v>
      </c>
    </row>
    <row r="5" spans="1:5" ht="12.75">
      <c r="A5">
        <v>136</v>
      </c>
      <c r="B5">
        <v>1</v>
      </c>
      <c r="C5">
        <v>10.5</v>
      </c>
      <c r="D5">
        <v>42</v>
      </c>
      <c r="E5">
        <v>174</v>
      </c>
    </row>
    <row r="6" spans="1:5" ht="12.75">
      <c r="A6">
        <v>7</v>
      </c>
      <c r="B6">
        <v>2</v>
      </c>
      <c r="C6">
        <v>19.8</v>
      </c>
      <c r="D6">
        <v>99</v>
      </c>
      <c r="E6">
        <v>2022</v>
      </c>
    </row>
    <row r="7" spans="1:5" ht="12.75">
      <c r="A7">
        <v>26</v>
      </c>
      <c r="B7">
        <v>2</v>
      </c>
      <c r="C7">
        <v>19.8</v>
      </c>
      <c r="D7">
        <v>99</v>
      </c>
      <c r="E7">
        <v>576</v>
      </c>
    </row>
    <row r="8" spans="1:5" ht="12.75">
      <c r="A8">
        <v>62</v>
      </c>
      <c r="B8">
        <v>2</v>
      </c>
      <c r="C8">
        <v>19.8</v>
      </c>
      <c r="D8">
        <v>99</v>
      </c>
      <c r="E8">
        <v>1999</v>
      </c>
    </row>
    <row r="9" spans="1:5" ht="12.75">
      <c r="A9">
        <v>90</v>
      </c>
      <c r="B9">
        <v>2</v>
      </c>
      <c r="C9">
        <v>19.8</v>
      </c>
      <c r="D9">
        <v>99</v>
      </c>
      <c r="E9">
        <v>482</v>
      </c>
    </row>
    <row r="10" spans="1:5" ht="12.75">
      <c r="A10">
        <v>101</v>
      </c>
      <c r="B10">
        <v>2</v>
      </c>
      <c r="C10">
        <v>19.8</v>
      </c>
      <c r="D10">
        <v>99</v>
      </c>
      <c r="E10">
        <v>836</v>
      </c>
    </row>
    <row r="11" spans="1:5" ht="12.75">
      <c r="A11">
        <v>28</v>
      </c>
      <c r="B11">
        <v>3</v>
      </c>
      <c r="C11">
        <v>2.83</v>
      </c>
      <c r="D11">
        <v>17</v>
      </c>
      <c r="E11">
        <v>3108</v>
      </c>
    </row>
    <row r="12" spans="1:5" ht="12.75">
      <c r="A12">
        <v>34</v>
      </c>
      <c r="B12">
        <v>3</v>
      </c>
      <c r="C12">
        <v>2.83</v>
      </c>
      <c r="D12">
        <v>17</v>
      </c>
      <c r="E12">
        <v>4674</v>
      </c>
    </row>
    <row r="13" spans="1:5" ht="12.75">
      <c r="A13">
        <v>39</v>
      </c>
      <c r="B13">
        <v>3</v>
      </c>
      <c r="C13">
        <v>2.83</v>
      </c>
      <c r="D13">
        <v>17</v>
      </c>
      <c r="E13">
        <v>2539</v>
      </c>
    </row>
    <row r="14" spans="1:5" ht="12.75">
      <c r="A14">
        <v>102</v>
      </c>
      <c r="B14">
        <v>3</v>
      </c>
      <c r="C14">
        <v>2.83</v>
      </c>
      <c r="D14">
        <v>17</v>
      </c>
      <c r="E14">
        <v>1610</v>
      </c>
    </row>
    <row r="15" spans="1:5" ht="12.75">
      <c r="A15">
        <v>119</v>
      </c>
      <c r="B15">
        <v>3</v>
      </c>
      <c r="C15">
        <v>2.83</v>
      </c>
      <c r="D15">
        <v>17</v>
      </c>
      <c r="E15">
        <v>4618</v>
      </c>
    </row>
    <row r="16" spans="1:5" ht="12.75">
      <c r="A16">
        <v>149</v>
      </c>
      <c r="B16">
        <v>3</v>
      </c>
      <c r="C16">
        <v>2.83</v>
      </c>
      <c r="D16">
        <v>17</v>
      </c>
      <c r="E16">
        <v>1781</v>
      </c>
    </row>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7:J10"/>
  <sheetViews>
    <sheetView workbookViewId="0" topLeftCell="A1">
      <selection activeCell="B10" sqref="B10:C10"/>
    </sheetView>
  </sheetViews>
  <sheetFormatPr defaultColWidth="11.421875" defaultRowHeight="12.75"/>
  <cols>
    <col min="1" max="1" width="24.421875" style="0" customWidth="1"/>
    <col min="3" max="3" width="10.57421875" style="0" customWidth="1"/>
    <col min="7" max="7" width="7.140625" style="0" customWidth="1"/>
    <col min="8" max="8" width="7.8515625" style="0" customWidth="1"/>
    <col min="9" max="9" width="6.140625" style="0" customWidth="1"/>
  </cols>
  <sheetData>
    <row r="7" s="220" customFormat="1" ht="12.75">
      <c r="A7" s="220" t="s">
        <v>22</v>
      </c>
    </row>
    <row r="8" spans="1:10" ht="12.75">
      <c r="A8" t="s">
        <v>513</v>
      </c>
      <c r="B8" t="s">
        <v>521</v>
      </c>
      <c r="C8" t="s">
        <v>522</v>
      </c>
      <c r="D8" t="s">
        <v>514</v>
      </c>
      <c r="E8" t="s">
        <v>515</v>
      </c>
      <c r="F8" t="s">
        <v>516</v>
      </c>
      <c r="G8" t="s">
        <v>517</v>
      </c>
      <c r="H8" t="s">
        <v>518</v>
      </c>
      <c r="I8" t="s">
        <v>100</v>
      </c>
      <c r="J8" t="s">
        <v>71</v>
      </c>
    </row>
    <row r="9" spans="1:9" ht="12.75">
      <c r="A9" t="s">
        <v>519</v>
      </c>
      <c r="B9" t="s">
        <v>523</v>
      </c>
      <c r="C9">
        <v>0.665</v>
      </c>
      <c r="D9">
        <v>-0.335</v>
      </c>
      <c r="E9">
        <v>1.149</v>
      </c>
      <c r="F9">
        <v>0.058</v>
      </c>
      <c r="I9">
        <v>200</v>
      </c>
    </row>
    <row r="10" spans="1:9" ht="12.75">
      <c r="A10" t="s">
        <v>520</v>
      </c>
      <c r="B10">
        <v>0.803</v>
      </c>
      <c r="C10">
        <v>0.645</v>
      </c>
      <c r="D10">
        <v>0.827500000000001</v>
      </c>
      <c r="E10">
        <v>0.7977272727272724</v>
      </c>
      <c r="F10">
        <v>0.04207073049604862</v>
      </c>
      <c r="I10">
        <v>200</v>
      </c>
    </row>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C54"/>
  <sheetViews>
    <sheetView workbookViewId="0" topLeftCell="A1">
      <selection activeCell="C5" sqref="C5"/>
    </sheetView>
  </sheetViews>
  <sheetFormatPr defaultColWidth="11.421875" defaultRowHeight="12.75"/>
  <cols>
    <col min="1" max="1" width="25.7109375" style="0" customWidth="1"/>
  </cols>
  <sheetData>
    <row r="1" spans="1:3" ht="13.5" thickBot="1">
      <c r="A1" s="133" t="s">
        <v>262</v>
      </c>
      <c r="B1" s="17"/>
      <c r="C1" s="17"/>
    </row>
    <row r="2" spans="1:3" ht="12.75">
      <c r="A2" s="112" t="s">
        <v>96</v>
      </c>
      <c r="B2" s="134" t="s">
        <v>97</v>
      </c>
      <c r="C2" s="135">
        <f>((C3-C4)/C3)*C5/C4</f>
        <v>0.01960350560808502</v>
      </c>
    </row>
    <row r="3" spans="1:3" ht="12.75">
      <c r="A3" s="114" t="s">
        <v>98</v>
      </c>
      <c r="B3" s="117" t="s">
        <v>2</v>
      </c>
      <c r="C3" s="124">
        <v>922184</v>
      </c>
    </row>
    <row r="4" spans="1:3" ht="12.75">
      <c r="A4" s="114" t="s">
        <v>99</v>
      </c>
      <c r="B4" s="117" t="s">
        <v>100</v>
      </c>
      <c r="C4" s="124">
        <v>204</v>
      </c>
    </row>
    <row r="5" spans="1:3" ht="15.75">
      <c r="A5" s="114" t="s">
        <v>101</v>
      </c>
      <c r="B5" s="117" t="s">
        <v>263</v>
      </c>
      <c r="C5" s="124">
        <v>4</v>
      </c>
    </row>
    <row r="6" spans="1:3" ht="12.75">
      <c r="A6" s="114" t="s">
        <v>102</v>
      </c>
      <c r="B6" s="116" t="s">
        <v>103</v>
      </c>
      <c r="C6" s="123">
        <f>C2^0.5</f>
        <v>0.14001251946909968</v>
      </c>
    </row>
    <row r="7" spans="1:3" ht="12.75">
      <c r="A7" s="114" t="s">
        <v>104</v>
      </c>
      <c r="B7" s="116" t="s">
        <v>105</v>
      </c>
      <c r="C7" s="123">
        <f>((C3-C4)/(C3-1))^0.5</f>
        <v>0.9998899290201515</v>
      </c>
    </row>
    <row r="8" spans="1:3" ht="12.75">
      <c r="A8" s="114" t="s">
        <v>59</v>
      </c>
      <c r="B8" s="116" t="s">
        <v>60</v>
      </c>
      <c r="C8" s="123">
        <f>1-C9</f>
        <v>0.95</v>
      </c>
    </row>
    <row r="9" spans="1:3" ht="12.75">
      <c r="A9" s="114" t="s">
        <v>61</v>
      </c>
      <c r="B9" s="117" t="s">
        <v>61</v>
      </c>
      <c r="C9" s="124">
        <v>0.05</v>
      </c>
    </row>
    <row r="10" spans="1:3" ht="12.75">
      <c r="A10" s="114" t="s">
        <v>62</v>
      </c>
      <c r="B10" s="116" t="s">
        <v>83</v>
      </c>
      <c r="C10" s="123">
        <f>1-(C9/2)</f>
        <v>0.975</v>
      </c>
    </row>
    <row r="11" spans="1:3" ht="12.75">
      <c r="A11" s="114" t="s">
        <v>111</v>
      </c>
      <c r="B11" s="116" t="s">
        <v>71</v>
      </c>
      <c r="C11" s="123">
        <f>TINV(C9,C12)</f>
        <v>1.9717188017519902</v>
      </c>
    </row>
    <row r="12" spans="1:3" ht="12.75">
      <c r="A12" s="114" t="s">
        <v>112</v>
      </c>
      <c r="B12" s="116" t="s">
        <v>73</v>
      </c>
      <c r="C12" s="123">
        <f>C4-1</f>
        <v>203</v>
      </c>
    </row>
    <row r="13" spans="1:3" ht="12.75">
      <c r="A13" s="114" t="s">
        <v>106</v>
      </c>
      <c r="B13" s="117" t="s">
        <v>13</v>
      </c>
      <c r="C13" s="124">
        <v>3</v>
      </c>
    </row>
    <row r="14" spans="1:3" ht="12.75">
      <c r="A14" s="114" t="s">
        <v>107</v>
      </c>
      <c r="B14" s="116" t="s">
        <v>108</v>
      </c>
      <c r="C14" s="123">
        <f>C13-(C11*C6)</f>
        <v>2.72393468288211</v>
      </c>
    </row>
    <row r="15" spans="1:3" ht="12.75">
      <c r="A15" s="114" t="s">
        <v>109</v>
      </c>
      <c r="B15" s="116" t="s">
        <v>110</v>
      </c>
      <c r="C15" s="123">
        <f>C13+C11*C6</f>
        <v>3.27606531711789</v>
      </c>
    </row>
    <row r="16" spans="1:3" ht="12.75">
      <c r="A16" s="114" t="s">
        <v>229</v>
      </c>
      <c r="B16" s="116" t="s">
        <v>230</v>
      </c>
      <c r="C16" s="136">
        <f>C15-C14</f>
        <v>0.5521306342357803</v>
      </c>
    </row>
    <row r="17" spans="1:3" ht="12.75">
      <c r="A17" s="114" t="s">
        <v>231</v>
      </c>
      <c r="B17" s="116" t="s">
        <v>232</v>
      </c>
      <c r="C17" s="123">
        <f>C16/C14</f>
        <v>0.20269598889632268</v>
      </c>
    </row>
    <row r="18" spans="1:3" ht="12.75">
      <c r="A18" s="114" t="s">
        <v>233</v>
      </c>
      <c r="B18" s="116" t="s">
        <v>234</v>
      </c>
      <c r="C18" s="123">
        <f>C17*100</f>
        <v>20.269598889632267</v>
      </c>
    </row>
    <row r="19" spans="1:3" ht="12.75">
      <c r="A19" s="114" t="s">
        <v>260</v>
      </c>
      <c r="B19" s="116" t="s">
        <v>236</v>
      </c>
      <c r="C19" s="136">
        <f>C11*C6</f>
        <v>0.2760653171178904</v>
      </c>
    </row>
    <row r="20" spans="1:3" ht="12.75">
      <c r="A20" s="114" t="s">
        <v>261</v>
      </c>
      <c r="B20" s="116" t="s">
        <v>237</v>
      </c>
      <c r="C20" s="226">
        <f>C19/C13</f>
        <v>0.09202177237263014</v>
      </c>
    </row>
    <row r="21" spans="1:3" ht="12.75">
      <c r="A21" s="114" t="s">
        <v>248</v>
      </c>
      <c r="B21" s="116" t="s">
        <v>239</v>
      </c>
      <c r="C21" s="137">
        <f>C20*100</f>
        <v>9.202177237263014</v>
      </c>
    </row>
    <row r="22" spans="1:3" ht="12.75">
      <c r="A22" s="114" t="s">
        <v>240</v>
      </c>
      <c r="B22" s="117" t="s">
        <v>241</v>
      </c>
      <c r="C22" s="124">
        <v>4</v>
      </c>
    </row>
    <row r="23" spans="1:3" ht="12.75">
      <c r="A23" s="114" t="s">
        <v>244</v>
      </c>
      <c r="B23" s="116" t="s">
        <v>246</v>
      </c>
      <c r="C23" s="137">
        <f>C19/C22</f>
        <v>0.0690163292794726</v>
      </c>
    </row>
    <row r="24" spans="1:3" ht="12.75">
      <c r="A24" s="114" t="s">
        <v>245</v>
      </c>
      <c r="B24" s="116" t="s">
        <v>247</v>
      </c>
      <c r="C24" s="137">
        <f>C23*100</f>
        <v>6.90163292794726</v>
      </c>
    </row>
    <row r="25" spans="1:3" ht="13.5" thickBot="1">
      <c r="A25" s="118" t="s">
        <v>242</v>
      </c>
      <c r="B25" s="138" t="s">
        <v>243</v>
      </c>
      <c r="C25" s="139">
        <f>100-C24</f>
        <v>93.09836707205274</v>
      </c>
    </row>
    <row r="26" ht="13.5" thickBot="1"/>
    <row r="27" spans="1:3" ht="13.5" thickBot="1">
      <c r="A27" s="110" t="s">
        <v>223</v>
      </c>
      <c r="B27" s="25"/>
      <c r="C27" s="25"/>
    </row>
    <row r="28" spans="1:3" ht="12.75">
      <c r="A28" s="112" t="s">
        <v>98</v>
      </c>
      <c r="B28" s="113" t="s">
        <v>2</v>
      </c>
      <c r="C28" s="122">
        <v>352</v>
      </c>
    </row>
    <row r="29" spans="1:3" ht="12.75">
      <c r="A29" s="114" t="s">
        <v>99</v>
      </c>
      <c r="B29" s="115" t="s">
        <v>100</v>
      </c>
      <c r="C29" s="123">
        <f>C33^2*C28*C34/((C33^2*C34)+((C28-1)*C36^2))</f>
        <v>144.9943812942281</v>
      </c>
    </row>
    <row r="30" spans="1:3" ht="12.75">
      <c r="A30" s="114" t="s">
        <v>59</v>
      </c>
      <c r="B30" s="116" t="s">
        <v>60</v>
      </c>
      <c r="C30" s="123">
        <f>1-C31</f>
        <v>0.95</v>
      </c>
    </row>
    <row r="31" spans="1:3" ht="12.75">
      <c r="A31" s="114" t="s">
        <v>61</v>
      </c>
      <c r="B31" s="117" t="s">
        <v>61</v>
      </c>
      <c r="C31" s="124">
        <v>0.05</v>
      </c>
    </row>
    <row r="32" spans="1:3" ht="12.75">
      <c r="A32" s="114" t="s">
        <v>62</v>
      </c>
      <c r="B32" s="116" t="s">
        <v>83</v>
      </c>
      <c r="C32" s="123">
        <f>1-C31/2</f>
        <v>0.975</v>
      </c>
    </row>
    <row r="33" spans="1:3" ht="12.75">
      <c r="A33" s="114" t="s">
        <v>63</v>
      </c>
      <c r="B33" s="116" t="s">
        <v>56</v>
      </c>
      <c r="C33" s="123">
        <f>NORMSINV(C32)</f>
        <v>1.959963984540054</v>
      </c>
    </row>
    <row r="34" spans="1:3" ht="12.75">
      <c r="A34" s="114" t="s">
        <v>259</v>
      </c>
      <c r="B34" s="117" t="s">
        <v>221</v>
      </c>
      <c r="C34" s="124">
        <v>4</v>
      </c>
    </row>
    <row r="35" spans="1:3" ht="12.75">
      <c r="A35" s="114" t="s">
        <v>104</v>
      </c>
      <c r="B35" s="116" t="s">
        <v>105</v>
      </c>
      <c r="C35" s="123">
        <f>((C28-C29)/(C28-1))^0.5</f>
        <v>0.7679580701134285</v>
      </c>
    </row>
    <row r="36" spans="1:3" ht="12.75">
      <c r="A36" s="114" t="s">
        <v>235</v>
      </c>
      <c r="B36" s="115" t="s">
        <v>228</v>
      </c>
      <c r="C36" s="125">
        <f>C38*C37</f>
        <v>0.25</v>
      </c>
    </row>
    <row r="37" spans="1:3" ht="12.75">
      <c r="A37" s="114" t="s">
        <v>240</v>
      </c>
      <c r="B37" s="117" t="s">
        <v>241</v>
      </c>
      <c r="C37" s="124">
        <v>5</v>
      </c>
    </row>
    <row r="38" spans="1:3" ht="13.5" thickBot="1">
      <c r="A38" s="114" t="s">
        <v>244</v>
      </c>
      <c r="B38" s="116" t="s">
        <v>246</v>
      </c>
      <c r="C38" s="126">
        <f>C39/100</f>
        <v>0.05</v>
      </c>
    </row>
    <row r="39" spans="1:3" ht="13.5" thickBot="1">
      <c r="A39" s="114" t="s">
        <v>245</v>
      </c>
      <c r="B39" s="115" t="s">
        <v>247</v>
      </c>
      <c r="C39" s="126">
        <f>100-C40</f>
        <v>5</v>
      </c>
    </row>
    <row r="40" spans="1:3" ht="13.5" thickBot="1">
      <c r="A40" s="114" t="s">
        <v>242</v>
      </c>
      <c r="B40" s="117" t="s">
        <v>243</v>
      </c>
      <c r="C40" s="124">
        <v>95</v>
      </c>
    </row>
    <row r="41" spans="1:3" ht="13.5" thickBot="1">
      <c r="A41" s="110" t="s">
        <v>252</v>
      </c>
      <c r="B41" s="115"/>
      <c r="C41" s="132"/>
    </row>
    <row r="42" spans="1:3" ht="12.75">
      <c r="A42" s="112" t="s">
        <v>98</v>
      </c>
      <c r="B42" s="113" t="s">
        <v>2</v>
      </c>
      <c r="C42" s="122">
        <f>436</f>
        <v>436</v>
      </c>
    </row>
    <row r="43" spans="1:3" ht="12.75">
      <c r="A43" s="114" t="s">
        <v>99</v>
      </c>
      <c r="B43" s="115" t="s">
        <v>100</v>
      </c>
      <c r="C43" s="123">
        <f>C47^2*C42*C48/((C47^2*C48)+((C42-1)*C50^2))</f>
        <v>393.7070745665435</v>
      </c>
    </row>
    <row r="44" spans="1:3" ht="12.75">
      <c r="A44" s="114" t="s">
        <v>59</v>
      </c>
      <c r="B44" s="116" t="s">
        <v>60</v>
      </c>
      <c r="C44" s="123">
        <f>1-C45</f>
        <v>0.95</v>
      </c>
    </row>
    <row r="45" spans="1:3" ht="12.75">
      <c r="A45" s="114" t="s">
        <v>61</v>
      </c>
      <c r="B45" s="117" t="s">
        <v>61</v>
      </c>
      <c r="C45" s="124">
        <v>0.05</v>
      </c>
    </row>
    <row r="46" spans="1:3" ht="12.75">
      <c r="A46" s="114" t="s">
        <v>62</v>
      </c>
      <c r="B46" s="116" t="s">
        <v>83</v>
      </c>
      <c r="C46" s="123">
        <f>1-C45/2</f>
        <v>0.975</v>
      </c>
    </row>
    <row r="47" spans="1:3" ht="12.75">
      <c r="A47" s="114" t="s">
        <v>63</v>
      </c>
      <c r="B47" s="116" t="s">
        <v>56</v>
      </c>
      <c r="C47" s="123">
        <f>NORMSINV(C46)</f>
        <v>1.959963984540054</v>
      </c>
    </row>
    <row r="48" spans="1:3" ht="12.75">
      <c r="A48" s="114" t="s">
        <v>257</v>
      </c>
      <c r="B48" s="117" t="s">
        <v>221</v>
      </c>
      <c r="C48" s="124">
        <v>4</v>
      </c>
    </row>
    <row r="49" spans="1:3" ht="12.75">
      <c r="A49" s="114" t="s">
        <v>104</v>
      </c>
      <c r="B49" s="116" t="s">
        <v>105</v>
      </c>
      <c r="C49" s="123">
        <f>((C42-C43)/(C42-1))^0.5</f>
        <v>0.3118094224666414</v>
      </c>
    </row>
    <row r="50" spans="1:3" ht="12.75">
      <c r="A50" s="114" t="s">
        <v>235</v>
      </c>
      <c r="B50" s="115" t="s">
        <v>228</v>
      </c>
      <c r="C50" s="125">
        <f>C52*C51</f>
        <v>0.06159999999999996</v>
      </c>
    </row>
    <row r="51" spans="1:3" ht="12.75">
      <c r="A51" s="114" t="s">
        <v>240</v>
      </c>
      <c r="B51" s="117" t="s">
        <v>241</v>
      </c>
      <c r="C51" s="124">
        <v>5</v>
      </c>
    </row>
    <row r="52" spans="1:3" ht="13.5" thickBot="1">
      <c r="A52" s="114" t="s">
        <v>244</v>
      </c>
      <c r="B52" s="116" t="s">
        <v>246</v>
      </c>
      <c r="C52" s="126">
        <f>C53/100</f>
        <v>0.012319999999999992</v>
      </c>
    </row>
    <row r="53" spans="1:3" ht="13.5" thickBot="1">
      <c r="A53" s="114" t="s">
        <v>245</v>
      </c>
      <c r="B53" s="115" t="s">
        <v>247</v>
      </c>
      <c r="C53" s="126">
        <f>100-C54</f>
        <v>1.2319999999999993</v>
      </c>
    </row>
    <row r="54" spans="1:3" ht="13.5" thickBot="1">
      <c r="A54" s="118" t="s">
        <v>242</v>
      </c>
      <c r="B54" s="119" t="s">
        <v>243</v>
      </c>
      <c r="C54" s="127">
        <v>98.768</v>
      </c>
    </row>
  </sheetData>
  <printOptions/>
  <pageMargins left="0.75" right="0.75" top="1" bottom="1" header="0" footer="0"/>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C1227"/>
  <sheetViews>
    <sheetView workbookViewId="0" topLeftCell="A37">
      <selection activeCell="C6" sqref="C6"/>
    </sheetView>
  </sheetViews>
  <sheetFormatPr defaultColWidth="11.421875" defaultRowHeight="12.75"/>
  <cols>
    <col min="1" max="1" width="37.140625" style="0" customWidth="1"/>
  </cols>
  <sheetData>
    <row r="1" s="7" customFormat="1" ht="31.5" customHeight="1" thickBot="1">
      <c r="A1" s="205" t="s">
        <v>443</v>
      </c>
    </row>
    <row r="2" spans="1:4" ht="13.5" thickBot="1">
      <c r="A2" s="54" t="s">
        <v>23</v>
      </c>
      <c r="B2" s="55" t="s">
        <v>24</v>
      </c>
      <c r="C2" s="56">
        <f>NORMSDIST(C6)</f>
        <v>0.7478371328484013</v>
      </c>
      <c r="D2" s="18" t="s">
        <v>25</v>
      </c>
    </row>
    <row r="3" spans="1:4" ht="12.75">
      <c r="A3" s="19"/>
      <c r="B3" s="20"/>
      <c r="C3" s="20"/>
      <c r="D3" s="21"/>
    </row>
    <row r="4" spans="1:4" ht="13.5" thickBot="1">
      <c r="A4" s="16"/>
      <c r="B4" s="17"/>
      <c r="C4" s="17"/>
      <c r="D4" s="18"/>
    </row>
    <row r="5" spans="1:4" ht="13.5" thickBot="1">
      <c r="A5" s="23" t="s">
        <v>26</v>
      </c>
      <c r="B5" s="17"/>
      <c r="C5" s="17"/>
      <c r="D5" s="16"/>
    </row>
    <row r="6" spans="1:9" ht="12.75">
      <c r="A6" s="57" t="s">
        <v>27</v>
      </c>
      <c r="B6" s="58" t="s">
        <v>28</v>
      </c>
      <c r="C6" s="59">
        <f>(C7-C8)/C49</f>
        <v>0.6676990221889696</v>
      </c>
      <c r="D6" s="16"/>
      <c r="F6" s="217" t="s">
        <v>0</v>
      </c>
      <c r="G6" s="217"/>
      <c r="H6" s="217"/>
      <c r="I6" s="217"/>
    </row>
    <row r="7" spans="1:9" ht="12.75">
      <c r="A7" s="60" t="s">
        <v>29</v>
      </c>
      <c r="B7" s="51" t="s">
        <v>30</v>
      </c>
      <c r="C7" s="61">
        <v>3.569783197831978</v>
      </c>
      <c r="D7" s="16"/>
      <c r="F7" s="217" t="s">
        <v>490</v>
      </c>
      <c r="G7" s="217"/>
      <c r="H7" s="217"/>
      <c r="I7" s="217"/>
    </row>
    <row r="8" spans="1:10" ht="12.75">
      <c r="A8" s="60" t="s">
        <v>31</v>
      </c>
      <c r="B8" s="51" t="s">
        <v>32</v>
      </c>
      <c r="C8" s="61">
        <v>3.148305084745763</v>
      </c>
      <c r="D8" s="16"/>
      <c r="F8" s="217" t="s">
        <v>491</v>
      </c>
      <c r="G8" s="217" t="s">
        <v>3</v>
      </c>
      <c r="H8" s="217" t="s">
        <v>4</v>
      </c>
      <c r="I8" s="217" t="s">
        <v>2</v>
      </c>
      <c r="J8" s="219" t="s">
        <v>498</v>
      </c>
    </row>
    <row r="9" spans="1:10" ht="12.75">
      <c r="A9" s="60" t="s">
        <v>33</v>
      </c>
      <c r="B9" s="51" t="s">
        <v>34</v>
      </c>
      <c r="C9" s="61">
        <v>0.576</v>
      </c>
      <c r="D9" s="16" t="s">
        <v>35</v>
      </c>
      <c r="F9" s="217" t="s">
        <v>492</v>
      </c>
      <c r="G9" s="217">
        <v>3.6341463414634148</v>
      </c>
      <c r="H9" s="217">
        <v>0.839049949541716</v>
      </c>
      <c r="I9" s="217">
        <v>82</v>
      </c>
      <c r="J9">
        <f>H9^2</f>
        <v>0.7040048178259561</v>
      </c>
    </row>
    <row r="10" spans="1:10" ht="15.75">
      <c r="A10" s="60" t="s">
        <v>36</v>
      </c>
      <c r="B10" s="50" t="s">
        <v>203</v>
      </c>
      <c r="C10" s="64">
        <f>C6^2/(4+C6^2)</f>
        <v>0.10027886537366827</v>
      </c>
      <c r="D10" s="16"/>
      <c r="F10" s="217" t="s">
        <v>493</v>
      </c>
      <c r="G10" s="217">
        <v>3.0677966101694927</v>
      </c>
      <c r="H10" s="217">
        <v>0.9403473949750029</v>
      </c>
      <c r="I10" s="217">
        <v>118</v>
      </c>
      <c r="J10">
        <f>H10^2</f>
        <v>0.884253223236274</v>
      </c>
    </row>
    <row r="11" spans="1:9" ht="12.75">
      <c r="A11" s="60" t="s">
        <v>37</v>
      </c>
      <c r="B11" s="50" t="s">
        <v>38</v>
      </c>
      <c r="C11" s="64">
        <f>C10^0.5</f>
        <v>0.31666838391867963</v>
      </c>
      <c r="D11" s="16" t="s">
        <v>39</v>
      </c>
      <c r="F11" s="217" t="s">
        <v>198</v>
      </c>
      <c r="G11" s="217">
        <v>3.3</v>
      </c>
      <c r="H11" s="217">
        <v>0.9404371911790622</v>
      </c>
      <c r="I11" s="217">
        <v>200</v>
      </c>
    </row>
    <row r="12" spans="1:4" ht="12.75">
      <c r="A12" s="60" t="s">
        <v>40</v>
      </c>
      <c r="B12" s="51" t="s">
        <v>41</v>
      </c>
      <c r="C12" s="61">
        <v>82</v>
      </c>
      <c r="D12" s="16"/>
    </row>
    <row r="13" spans="1:4" ht="12.75">
      <c r="A13" s="60" t="s">
        <v>42</v>
      </c>
      <c r="B13" s="51" t="s">
        <v>43</v>
      </c>
      <c r="C13" s="61">
        <v>118</v>
      </c>
      <c r="D13" s="16"/>
    </row>
    <row r="14" spans="1:14" ht="12.75">
      <c r="A14" s="60" t="s">
        <v>44</v>
      </c>
      <c r="B14" s="51" t="s">
        <v>2</v>
      </c>
      <c r="C14" s="61">
        <v>27000</v>
      </c>
      <c r="D14" s="16"/>
      <c r="F14" s="217" t="s">
        <v>187</v>
      </c>
      <c r="G14" s="217"/>
      <c r="H14" s="217"/>
      <c r="I14" s="217"/>
      <c r="J14" s="217"/>
      <c r="K14" s="217"/>
      <c r="L14" s="217"/>
      <c r="M14" s="217"/>
      <c r="N14" s="217"/>
    </row>
    <row r="15" spans="1:14" ht="15.75">
      <c r="A15" s="60" t="s">
        <v>45</v>
      </c>
      <c r="B15" s="50" t="s">
        <v>203</v>
      </c>
      <c r="C15" s="64">
        <f>(C6^2)/((C6^2)+((C14^2-2*C14)/(C12*C13))^0.5)</f>
        <v>0.001621649105354008</v>
      </c>
      <c r="D15" s="16" t="s">
        <v>46</v>
      </c>
      <c r="F15" s="217" t="s">
        <v>490</v>
      </c>
      <c r="G15" s="217"/>
      <c r="H15" s="217"/>
      <c r="I15" s="217"/>
      <c r="J15" s="217"/>
      <c r="K15" s="217"/>
      <c r="L15" s="217"/>
      <c r="M15" s="217"/>
      <c r="N15" s="217"/>
    </row>
    <row r="16" spans="1:14" ht="12.75">
      <c r="A16" s="38"/>
      <c r="B16" s="25"/>
      <c r="C16" s="39">
        <f>C15^0.5</f>
        <v>0.04026970456005368</v>
      </c>
      <c r="D16" s="16"/>
      <c r="F16" s="217" t="s">
        <v>188</v>
      </c>
      <c r="G16" s="217" t="s">
        <v>189</v>
      </c>
      <c r="H16" s="217" t="s">
        <v>175</v>
      </c>
      <c r="I16" s="217" t="s">
        <v>190</v>
      </c>
      <c r="J16" s="217" t="s">
        <v>173</v>
      </c>
      <c r="K16" s="217" t="s">
        <v>183</v>
      </c>
      <c r="L16" s="217" t="s">
        <v>191</v>
      </c>
      <c r="M16" s="217" t="s">
        <v>192</v>
      </c>
      <c r="N16" s="217" t="s">
        <v>193</v>
      </c>
    </row>
    <row r="17" spans="1:14" ht="15.75">
      <c r="A17" s="60" t="s">
        <v>47</v>
      </c>
      <c r="B17" s="50" t="s">
        <v>203</v>
      </c>
      <c r="C17" s="64">
        <f>C6^2/(4+C6^2)</f>
        <v>0.10027886537366827</v>
      </c>
      <c r="D17" s="16"/>
      <c r="F17" s="217" t="s">
        <v>194</v>
      </c>
      <c r="G17" s="217">
        <v>15.517982637453429</v>
      </c>
      <c r="H17" s="217">
        <v>1</v>
      </c>
      <c r="I17" s="217">
        <v>15.517982637453429</v>
      </c>
      <c r="J17" s="217">
        <v>19.145824639495434</v>
      </c>
      <c r="K17" s="217">
        <v>1.957627802926146E-05</v>
      </c>
      <c r="L17" s="217">
        <v>0.08817035589462174</v>
      </c>
      <c r="M17" s="217">
        <v>19.145824639495434</v>
      </c>
      <c r="N17" s="217">
        <v>0.9916742537730371</v>
      </c>
    </row>
    <row r="18" spans="1:14" ht="12.75">
      <c r="A18" s="60"/>
      <c r="B18" s="50" t="s">
        <v>38</v>
      </c>
      <c r="C18" s="64">
        <f>C17^0.5</f>
        <v>0.31666838391867963</v>
      </c>
      <c r="D18" s="16"/>
      <c r="F18" s="217" t="s">
        <v>195</v>
      </c>
      <c r="G18" s="217">
        <v>2173.0379826374524</v>
      </c>
      <c r="H18" s="217">
        <v>1</v>
      </c>
      <c r="I18" s="217">
        <v>2173.0379826374524</v>
      </c>
      <c r="J18" s="217">
        <v>2681.0575267770173</v>
      </c>
      <c r="K18" s="217">
        <v>4.703714081788523E-117</v>
      </c>
      <c r="L18" s="217">
        <v>0.9312274943593598</v>
      </c>
      <c r="M18" s="217">
        <v>2681.0575267770178</v>
      </c>
      <c r="N18" s="217">
        <v>1</v>
      </c>
    </row>
    <row r="19" spans="1:14" ht="12.75">
      <c r="A19" s="60" t="s">
        <v>40</v>
      </c>
      <c r="B19" s="50" t="s">
        <v>41</v>
      </c>
      <c r="C19" s="64">
        <v>104</v>
      </c>
      <c r="D19" s="16"/>
      <c r="F19" s="217" t="s">
        <v>491</v>
      </c>
      <c r="G19" s="217">
        <v>15.517982637453475</v>
      </c>
      <c r="H19" s="217">
        <v>1</v>
      </c>
      <c r="I19" s="217">
        <v>15.517982637453475</v>
      </c>
      <c r="J19" s="217">
        <v>19.14582463949549</v>
      </c>
      <c r="K19" s="217">
        <v>1.9576278029260937E-05</v>
      </c>
      <c r="L19" s="217">
        <v>0.08817035589462198</v>
      </c>
      <c r="M19" s="217">
        <v>19.14582463949549</v>
      </c>
      <c r="N19" s="217">
        <v>0.9916742537730373</v>
      </c>
    </row>
    <row r="20" spans="1:14" ht="12.75">
      <c r="A20" s="60" t="s">
        <v>42</v>
      </c>
      <c r="B20" s="50" t="s">
        <v>43</v>
      </c>
      <c r="C20" s="64">
        <v>89</v>
      </c>
      <c r="D20" s="16"/>
      <c r="F20" s="217" t="s">
        <v>197</v>
      </c>
      <c r="G20" s="217">
        <v>160.4820173625466</v>
      </c>
      <c r="H20" s="217">
        <v>198</v>
      </c>
      <c r="I20" s="217">
        <v>0.8105152392047809</v>
      </c>
      <c r="J20" s="217"/>
      <c r="K20" s="217"/>
      <c r="L20" s="217"/>
      <c r="M20" s="217"/>
      <c r="N20" s="217"/>
    </row>
    <row r="21" spans="1:14" ht="12.75">
      <c r="A21" s="60" t="s">
        <v>44</v>
      </c>
      <c r="B21" s="50" t="s">
        <v>2</v>
      </c>
      <c r="C21" s="64">
        <v>436</v>
      </c>
      <c r="D21" s="16"/>
      <c r="F21" s="217" t="s">
        <v>198</v>
      </c>
      <c r="G21" s="217">
        <v>2354</v>
      </c>
      <c r="H21" s="217">
        <v>200</v>
      </c>
      <c r="I21" s="217"/>
      <c r="J21" s="217"/>
      <c r="K21" s="217"/>
      <c r="L21" s="217"/>
      <c r="M21" s="217"/>
      <c r="N21" s="217"/>
    </row>
    <row r="22" spans="1:14" ht="16.5" thickBot="1">
      <c r="A22" s="65"/>
      <c r="B22" s="66" t="s">
        <v>203</v>
      </c>
      <c r="C22" s="67">
        <f>(C6^2)/((C6^2)+((C21^2-2*C21)/(C19*C20))^0.5)</f>
        <v>0.08975212084498652</v>
      </c>
      <c r="D22" s="16" t="s">
        <v>46</v>
      </c>
      <c r="F22" s="217" t="s">
        <v>199</v>
      </c>
      <c r="G22" s="217">
        <v>176</v>
      </c>
      <c r="H22" s="217">
        <v>199</v>
      </c>
      <c r="I22" s="217"/>
      <c r="J22" s="217"/>
      <c r="K22" s="217"/>
      <c r="L22" s="217"/>
      <c r="M22" s="217"/>
      <c r="N22" s="217"/>
    </row>
    <row r="23" spans="1:14" ht="12.75">
      <c r="A23" s="16"/>
      <c r="B23" s="17"/>
      <c r="C23" s="17"/>
      <c r="D23" s="16"/>
      <c r="F23" s="217" t="s">
        <v>185</v>
      </c>
      <c r="G23" s="217" t="s">
        <v>200</v>
      </c>
      <c r="H23" s="217"/>
      <c r="I23" s="217"/>
      <c r="J23" s="217"/>
      <c r="K23" s="217"/>
      <c r="L23" s="217"/>
      <c r="M23" s="217"/>
      <c r="N23" s="217"/>
    </row>
    <row r="24" spans="1:14" ht="13.5" thickBot="1">
      <c r="A24" s="70" t="s">
        <v>49</v>
      </c>
      <c r="B24" s="17"/>
      <c r="C24" s="17"/>
      <c r="D24" s="16"/>
      <c r="F24" s="217" t="s">
        <v>201</v>
      </c>
      <c r="G24" s="217" t="s">
        <v>494</v>
      </c>
      <c r="H24" s="217"/>
      <c r="I24" s="217"/>
      <c r="J24" s="217"/>
      <c r="K24" s="217"/>
      <c r="L24" s="217"/>
      <c r="M24" s="217"/>
      <c r="N24" s="217"/>
    </row>
    <row r="25" spans="1:4" ht="12.75">
      <c r="A25" s="57" t="s">
        <v>48</v>
      </c>
      <c r="B25" s="58" t="s">
        <v>49</v>
      </c>
      <c r="C25" s="59">
        <f>1-C33</f>
        <v>0.6734251129288407</v>
      </c>
      <c r="D25" s="16" t="s">
        <v>50</v>
      </c>
    </row>
    <row r="26" spans="1:4" ht="12.75">
      <c r="A26" s="60" t="s">
        <v>29</v>
      </c>
      <c r="B26" s="51" t="s">
        <v>30</v>
      </c>
      <c r="C26" s="61">
        <v>3.6341463414634148</v>
      </c>
      <c r="D26" s="16" t="s">
        <v>51</v>
      </c>
    </row>
    <row r="27" spans="1:9" ht="12.75">
      <c r="A27" s="60" t="s">
        <v>31</v>
      </c>
      <c r="B27" s="51" t="s">
        <v>32</v>
      </c>
      <c r="C27" s="61">
        <v>3.0677966101694927</v>
      </c>
      <c r="D27" s="16"/>
      <c r="F27" s="217" t="s">
        <v>180</v>
      </c>
      <c r="G27" s="217"/>
      <c r="H27" s="217"/>
      <c r="I27" s="217"/>
    </row>
    <row r="28" spans="1:9" ht="12.75">
      <c r="A28" s="60" t="s">
        <v>52</v>
      </c>
      <c r="B28" s="62" t="s">
        <v>53</v>
      </c>
      <c r="C28" s="63">
        <f>C30^2</f>
        <v>0.7040048178259561</v>
      </c>
      <c r="D28" s="16"/>
      <c r="F28" s="217" t="s">
        <v>490</v>
      </c>
      <c r="G28" s="217"/>
      <c r="H28" s="217"/>
      <c r="I28" s="217"/>
    </row>
    <row r="29" spans="1:9" ht="12.75">
      <c r="A29" s="60" t="s">
        <v>54</v>
      </c>
      <c r="B29" s="62" t="s">
        <v>55</v>
      </c>
      <c r="C29" s="63">
        <f>C31^2</f>
        <v>0.884253223236274</v>
      </c>
      <c r="D29" s="16"/>
      <c r="F29" s="217" t="s">
        <v>173</v>
      </c>
      <c r="G29" s="217" t="s">
        <v>181</v>
      </c>
      <c r="H29" s="217" t="s">
        <v>182</v>
      </c>
      <c r="I29" s="217" t="s">
        <v>183</v>
      </c>
    </row>
    <row r="30" spans="1:9" ht="14.25">
      <c r="A30" s="60" t="s">
        <v>64</v>
      </c>
      <c r="B30" s="52" t="s">
        <v>207</v>
      </c>
      <c r="C30" s="61">
        <v>0.839049949541716</v>
      </c>
      <c r="D30" s="16"/>
      <c r="F30" s="217">
        <v>0.06891111166604194</v>
      </c>
      <c r="G30" s="217">
        <v>1</v>
      </c>
      <c r="H30" s="217">
        <v>198</v>
      </c>
      <c r="I30" s="217">
        <v>0.7932017742385075</v>
      </c>
    </row>
    <row r="31" spans="1:9" ht="14.25">
      <c r="A31" s="60" t="s">
        <v>65</v>
      </c>
      <c r="B31" s="52" t="s">
        <v>208</v>
      </c>
      <c r="C31" s="61">
        <v>0.9403473949750029</v>
      </c>
      <c r="D31" s="16"/>
      <c r="F31" s="217" t="s">
        <v>184</v>
      </c>
      <c r="G31" s="217"/>
      <c r="H31" s="217"/>
      <c r="I31" s="217"/>
    </row>
    <row r="32" spans="1:9" ht="12.75">
      <c r="A32" s="60" t="s">
        <v>56</v>
      </c>
      <c r="B32" s="50" t="s">
        <v>56</v>
      </c>
      <c r="C32" s="64">
        <f>((0-(C26-C27))/((C28+C29)^0.5))</f>
        <v>-0.44939078984141956</v>
      </c>
      <c r="D32" s="16"/>
      <c r="F32" s="217" t="s">
        <v>185</v>
      </c>
      <c r="G32" s="217" t="s">
        <v>495</v>
      </c>
      <c r="H32" s="217"/>
      <c r="I32" s="217"/>
    </row>
    <row r="33" spans="1:4" ht="13.5" thickBot="1">
      <c r="A33" s="65" t="s">
        <v>23</v>
      </c>
      <c r="B33" s="66" t="s">
        <v>24</v>
      </c>
      <c r="C33" s="67">
        <f>NORMSDIST(C32)</f>
        <v>0.32657488707115934</v>
      </c>
      <c r="D33" s="53"/>
    </row>
    <row r="34" spans="1:13" ht="13.5" thickBot="1">
      <c r="A34" s="16"/>
      <c r="B34" s="17"/>
      <c r="C34" s="17"/>
      <c r="D34" s="16"/>
      <c r="M34">
        <f>L19/L48</f>
        <v>0.8975652111647401</v>
      </c>
    </row>
    <row r="35" spans="1:13" ht="13.5" thickBot="1">
      <c r="A35" s="69" t="s">
        <v>209</v>
      </c>
      <c r="B35" s="17"/>
      <c r="C35" s="17"/>
      <c r="D35" s="16"/>
      <c r="F35" s="218" t="s">
        <v>0</v>
      </c>
      <c r="G35" s="218"/>
      <c r="H35" s="218"/>
      <c r="I35" s="218"/>
      <c r="M35">
        <f>0.629/0.668</f>
        <v>0.9416167664670658</v>
      </c>
    </row>
    <row r="36" spans="1:9" ht="12.75">
      <c r="A36" s="57" t="s">
        <v>57</v>
      </c>
      <c r="B36" s="58" t="s">
        <v>58</v>
      </c>
      <c r="C36" s="59">
        <f>(((C37+C38)/(C37*C38))+((C6^2)/(2*(C37+C38))))^0.5</f>
        <v>0.14759489551805718</v>
      </c>
      <c r="D36" s="16"/>
      <c r="F36" s="218" t="s">
        <v>496</v>
      </c>
      <c r="G36" s="218"/>
      <c r="H36" s="218"/>
      <c r="I36" s="218"/>
    </row>
    <row r="37" spans="1:9" ht="12.75">
      <c r="A37" s="60" t="s">
        <v>40</v>
      </c>
      <c r="B37" s="51" t="s">
        <v>41</v>
      </c>
      <c r="C37" s="61">
        <v>82</v>
      </c>
      <c r="D37" s="16"/>
      <c r="F37" s="218" t="s">
        <v>491</v>
      </c>
      <c r="G37" s="218" t="s">
        <v>3</v>
      </c>
      <c r="H37" s="218" t="s">
        <v>4</v>
      </c>
      <c r="I37" s="218" t="s">
        <v>2</v>
      </c>
    </row>
    <row r="38" spans="1:9" ht="12.75">
      <c r="A38" s="60" t="s">
        <v>42</v>
      </c>
      <c r="B38" s="51" t="s">
        <v>43</v>
      </c>
      <c r="C38" s="61">
        <v>118</v>
      </c>
      <c r="D38" s="16"/>
      <c r="F38" s="218" t="s">
        <v>492</v>
      </c>
      <c r="G38" s="218">
        <v>3.569783197831978</v>
      </c>
      <c r="H38" s="218">
        <v>0.585594674642626</v>
      </c>
      <c r="I38" s="218">
        <v>82</v>
      </c>
    </row>
    <row r="39" spans="1:9" ht="12.75">
      <c r="A39" s="60" t="s">
        <v>59</v>
      </c>
      <c r="B39" s="50" t="s">
        <v>60</v>
      </c>
      <c r="C39" s="64">
        <f>1-C40</f>
        <v>0.95</v>
      </c>
      <c r="D39" s="16"/>
      <c r="F39" s="218" t="s">
        <v>493</v>
      </c>
      <c r="G39" s="218">
        <v>3.148305084745763</v>
      </c>
      <c r="H39" s="218">
        <v>0.6609961867417108</v>
      </c>
      <c r="I39" s="218">
        <v>118</v>
      </c>
    </row>
    <row r="40" spans="1:9" ht="12.75">
      <c r="A40" s="60" t="s">
        <v>61</v>
      </c>
      <c r="B40" s="51" t="s">
        <v>61</v>
      </c>
      <c r="C40" s="61">
        <v>0.05</v>
      </c>
      <c r="D40" s="16"/>
      <c r="F40" s="218" t="s">
        <v>198</v>
      </c>
      <c r="G40" s="218">
        <v>3.3211111111111125</v>
      </c>
      <c r="H40" s="218">
        <v>0.6630604586196123</v>
      </c>
      <c r="I40" s="218">
        <v>200</v>
      </c>
    </row>
    <row r="41" spans="1:4" ht="12.75">
      <c r="A41" s="60" t="s">
        <v>62</v>
      </c>
      <c r="B41" s="50" t="s">
        <v>83</v>
      </c>
      <c r="C41" s="64">
        <f>1-(C40/2)</f>
        <v>0.975</v>
      </c>
      <c r="D41" s="16"/>
    </row>
    <row r="42" spans="1:4" ht="12.75">
      <c r="A42" s="60" t="s">
        <v>63</v>
      </c>
      <c r="B42" s="50" t="s">
        <v>56</v>
      </c>
      <c r="C42" s="64">
        <f>NORMSINV(C41)</f>
        <v>1.959963984540054</v>
      </c>
      <c r="D42" s="16"/>
    </row>
    <row r="43" spans="1:14" ht="12.75">
      <c r="A43" s="60" t="s">
        <v>210</v>
      </c>
      <c r="B43" s="50" t="s">
        <v>108</v>
      </c>
      <c r="C43" s="64">
        <f>C6-C42*C36</f>
        <v>0.3784183426716253</v>
      </c>
      <c r="D43" s="16"/>
      <c r="F43" s="218" t="s">
        <v>187</v>
      </c>
      <c r="G43" s="218"/>
      <c r="H43" s="218"/>
      <c r="I43" s="218"/>
      <c r="J43" s="218"/>
      <c r="K43" s="218"/>
      <c r="L43" s="218"/>
      <c r="M43" s="218"/>
      <c r="N43" s="218"/>
    </row>
    <row r="44" spans="1:14" ht="13.5" thickBot="1">
      <c r="A44" s="65"/>
      <c r="B44" s="66" t="s">
        <v>110</v>
      </c>
      <c r="C44" s="67">
        <f>C6+C42*C36</f>
        <v>0.956979701706314</v>
      </c>
      <c r="D44" s="16"/>
      <c r="F44" s="218" t="s">
        <v>496</v>
      </c>
      <c r="G44" s="218"/>
      <c r="H44" s="218"/>
      <c r="I44" s="218"/>
      <c r="J44" s="218"/>
      <c r="K44" s="218"/>
      <c r="L44" s="218"/>
      <c r="M44" s="218"/>
      <c r="N44" s="218"/>
    </row>
    <row r="45" spans="1:14" ht="12.75">
      <c r="A45" s="16"/>
      <c r="B45" s="17"/>
      <c r="C45" s="17"/>
      <c r="D45" s="16"/>
      <c r="F45" s="218" t="s">
        <v>188</v>
      </c>
      <c r="G45" s="218" t="s">
        <v>189</v>
      </c>
      <c r="H45" s="218" t="s">
        <v>175</v>
      </c>
      <c r="I45" s="218" t="s">
        <v>190</v>
      </c>
      <c r="J45" s="218" t="s">
        <v>173</v>
      </c>
      <c r="K45" s="218" t="s">
        <v>183</v>
      </c>
      <c r="L45" s="218" t="s">
        <v>191</v>
      </c>
      <c r="M45" s="218" t="s">
        <v>192</v>
      </c>
      <c r="N45" s="218" t="s">
        <v>193</v>
      </c>
    </row>
    <row r="46" spans="1:14" ht="13.5" thickBot="1">
      <c r="A46" s="16"/>
      <c r="B46" s="17"/>
      <c r="C46" s="17"/>
      <c r="D46" s="16"/>
      <c r="F46" s="218" t="s">
        <v>194</v>
      </c>
      <c r="G46" s="218">
        <v>8.594407034842547</v>
      </c>
      <c r="H46" s="218">
        <v>1</v>
      </c>
      <c r="I46" s="218">
        <v>8.594407034842547</v>
      </c>
      <c r="J46" s="218">
        <v>21.568867597149524</v>
      </c>
      <c r="K46" s="218">
        <v>6.211835024497857E-06</v>
      </c>
      <c r="L46" s="218">
        <v>0.09823281339102527</v>
      </c>
      <c r="M46" s="218">
        <v>21.568867597149524</v>
      </c>
      <c r="N46" s="218">
        <v>0.9961118407938114</v>
      </c>
    </row>
    <row r="47" spans="1:14" ht="14.25">
      <c r="A47" s="57" t="s">
        <v>64</v>
      </c>
      <c r="B47" s="81" t="s">
        <v>204</v>
      </c>
      <c r="C47" s="68">
        <v>0.585594674642626</v>
      </c>
      <c r="D47" s="16"/>
      <c r="F47" s="218" t="s">
        <v>195</v>
      </c>
      <c r="G47" s="218">
        <v>2183.520518145953</v>
      </c>
      <c r="H47" s="218">
        <v>1</v>
      </c>
      <c r="I47" s="218">
        <v>2183.520518145953</v>
      </c>
      <c r="J47" s="218">
        <v>5479.850414416892</v>
      </c>
      <c r="K47" s="218">
        <v>2.9263847871369825E-146</v>
      </c>
      <c r="L47" s="218">
        <v>0.9651276476926464</v>
      </c>
      <c r="M47" s="218">
        <v>5479.850414416892</v>
      </c>
      <c r="N47" s="218">
        <v>1</v>
      </c>
    </row>
    <row r="48" spans="1:14" ht="14.25">
      <c r="A48" s="60" t="s">
        <v>65</v>
      </c>
      <c r="B48" s="51" t="s">
        <v>205</v>
      </c>
      <c r="C48" s="61">
        <v>0.6609961867417108</v>
      </c>
      <c r="D48" s="16"/>
      <c r="F48" s="218" t="s">
        <v>491</v>
      </c>
      <c r="G48" s="218">
        <v>8.594407034842533</v>
      </c>
      <c r="H48" s="218">
        <v>1</v>
      </c>
      <c r="I48" s="218">
        <v>8.594407034842533</v>
      </c>
      <c r="J48" s="218">
        <v>21.568867597149488</v>
      </c>
      <c r="K48" s="218">
        <v>6.211835024498012E-06</v>
      </c>
      <c r="L48" s="218">
        <v>0.09823281339102513</v>
      </c>
      <c r="M48" s="218">
        <v>21.568867597149488</v>
      </c>
      <c r="N48" s="218">
        <v>0.9961118407938113</v>
      </c>
    </row>
    <row r="49" spans="1:14" ht="15" thickBot="1">
      <c r="A49" s="65" t="s">
        <v>66</v>
      </c>
      <c r="B49" s="66" t="s">
        <v>206</v>
      </c>
      <c r="C49" s="67">
        <f>((((C37-1)*(C47^2))+((C38-1)*(C48^2)))/(C37+C38-2))^0.5</f>
        <v>0.631239673984321</v>
      </c>
      <c r="D49" s="16" t="s">
        <v>280</v>
      </c>
      <c r="F49" s="218" t="s">
        <v>197</v>
      </c>
      <c r="G49" s="218">
        <v>78.89577815034271</v>
      </c>
      <c r="H49" s="218">
        <v>198</v>
      </c>
      <c r="I49" s="218">
        <v>0.3984635260118319</v>
      </c>
      <c r="J49" s="218"/>
      <c r="K49" s="218"/>
      <c r="L49" s="218"/>
      <c r="M49" s="218"/>
      <c r="N49" s="218"/>
    </row>
    <row r="50" spans="1:14" ht="12.75">
      <c r="A50" s="16"/>
      <c r="B50" s="17"/>
      <c r="C50" s="17"/>
      <c r="D50" s="16"/>
      <c r="F50" s="218" t="s">
        <v>198</v>
      </c>
      <c r="G50" s="218">
        <v>2293.44598765432</v>
      </c>
      <c r="H50" s="218">
        <v>200</v>
      </c>
      <c r="I50" s="218"/>
      <c r="J50" s="218"/>
      <c r="K50" s="218"/>
      <c r="L50" s="218"/>
      <c r="M50" s="218"/>
      <c r="N50" s="218"/>
    </row>
    <row r="51" spans="1:14" ht="13.5" thickBot="1">
      <c r="A51" s="16"/>
      <c r="B51" s="17"/>
      <c r="C51" s="17"/>
      <c r="D51" s="16"/>
      <c r="F51" s="218" t="s">
        <v>199</v>
      </c>
      <c r="G51" s="218">
        <v>87.49018518518525</v>
      </c>
      <c r="H51" s="218">
        <v>199</v>
      </c>
      <c r="I51" s="218"/>
      <c r="J51" s="218"/>
      <c r="K51" s="218"/>
      <c r="L51" s="218"/>
      <c r="M51" s="218"/>
      <c r="N51" s="218"/>
    </row>
    <row r="52" spans="1:14" ht="13.5" thickBot="1">
      <c r="A52" s="71" t="s">
        <v>67</v>
      </c>
      <c r="B52" s="17"/>
      <c r="C52" s="17"/>
      <c r="D52" s="16"/>
      <c r="F52" s="218" t="s">
        <v>185</v>
      </c>
      <c r="G52" s="218" t="s">
        <v>200</v>
      </c>
      <c r="H52" s="218"/>
      <c r="I52" s="218"/>
      <c r="J52" s="218"/>
      <c r="K52" s="218"/>
      <c r="L52" s="218"/>
      <c r="M52" s="218"/>
      <c r="N52" s="218"/>
    </row>
    <row r="53" spans="1:14" ht="12.75">
      <c r="A53" s="57" t="s">
        <v>68</v>
      </c>
      <c r="B53" s="58" t="s">
        <v>28</v>
      </c>
      <c r="C53" s="59">
        <f>(C54*(C56+C57))/((C55^0.5)*(C56*C57)^0.5)</f>
        <v>-0.4433273270343624</v>
      </c>
      <c r="D53" s="16" t="s">
        <v>69</v>
      </c>
      <c r="F53" s="218" t="s">
        <v>201</v>
      </c>
      <c r="G53" s="218" t="s">
        <v>497</v>
      </c>
      <c r="H53" s="218"/>
      <c r="I53" s="218"/>
      <c r="J53" s="218"/>
      <c r="K53" s="218"/>
      <c r="L53" s="218"/>
      <c r="M53" s="218"/>
      <c r="N53" s="218"/>
    </row>
    <row r="54" spans="1:4" ht="12.75">
      <c r="A54" s="60" t="s">
        <v>70</v>
      </c>
      <c r="B54" s="51" t="s">
        <v>71</v>
      </c>
      <c r="C54" s="61">
        <v>-2.51</v>
      </c>
      <c r="D54" s="16"/>
    </row>
    <row r="55" spans="1:4" ht="12.75">
      <c r="A55" s="60" t="s">
        <v>72</v>
      </c>
      <c r="B55" s="51" t="s">
        <v>73</v>
      </c>
      <c r="C55" s="61">
        <v>129</v>
      </c>
      <c r="D55" s="16"/>
    </row>
    <row r="56" spans="1:9" ht="12.75">
      <c r="A56" s="60" t="s">
        <v>40</v>
      </c>
      <c r="B56" s="50" t="s">
        <v>41</v>
      </c>
      <c r="C56" s="64">
        <v>104</v>
      </c>
      <c r="D56" s="16"/>
      <c r="F56" s="218" t="s">
        <v>180</v>
      </c>
      <c r="G56" s="218"/>
      <c r="H56" s="218"/>
      <c r="I56" s="218"/>
    </row>
    <row r="57" spans="1:9" ht="13.5" thickBot="1">
      <c r="A57" s="65" t="s">
        <v>42</v>
      </c>
      <c r="B57" s="66" t="s">
        <v>43</v>
      </c>
      <c r="C57" s="67">
        <v>89</v>
      </c>
      <c r="D57" s="16"/>
      <c r="F57" s="218" t="s">
        <v>496</v>
      </c>
      <c r="G57" s="218"/>
      <c r="H57" s="218"/>
      <c r="I57" s="218"/>
    </row>
    <row r="58" spans="1:9" ht="13.5" thickBot="1">
      <c r="A58" s="49"/>
      <c r="B58" s="50"/>
      <c r="C58" s="50"/>
      <c r="D58" s="16"/>
      <c r="F58" s="218" t="s">
        <v>173</v>
      </c>
      <c r="G58" s="218" t="s">
        <v>181</v>
      </c>
      <c r="H58" s="218" t="s">
        <v>182</v>
      </c>
      <c r="I58" s="218" t="s">
        <v>183</v>
      </c>
    </row>
    <row r="59" spans="1:9" ht="13.5" thickBot="1">
      <c r="A59" s="69" t="s">
        <v>76</v>
      </c>
      <c r="B59" s="17"/>
      <c r="C59" s="17"/>
      <c r="D59" s="16"/>
      <c r="F59" s="218">
        <v>1.3074777162125932</v>
      </c>
      <c r="G59" s="218">
        <v>1</v>
      </c>
      <c r="H59" s="218">
        <v>198</v>
      </c>
      <c r="I59" s="218">
        <v>0.2542324358407806</v>
      </c>
    </row>
    <row r="60" spans="1:9" ht="12.75">
      <c r="A60" s="57" t="s">
        <v>68</v>
      </c>
      <c r="B60" s="58" t="s">
        <v>28</v>
      </c>
      <c r="C60" s="59">
        <f>C6</f>
        <v>0.6676990221889696</v>
      </c>
      <c r="D60" s="16"/>
      <c r="F60" s="218" t="s">
        <v>184</v>
      </c>
      <c r="G60" s="218"/>
      <c r="H60" s="218"/>
      <c r="I60" s="218"/>
    </row>
    <row r="61" spans="1:9" ht="12.75">
      <c r="A61" s="60" t="s">
        <v>74</v>
      </c>
      <c r="B61" s="50" t="s">
        <v>75</v>
      </c>
      <c r="C61" s="64">
        <f>C60/(C62/C63)^0.5</f>
        <v>0.056158505502805205</v>
      </c>
      <c r="D61" s="16" t="s">
        <v>212</v>
      </c>
      <c r="F61" s="218" t="s">
        <v>185</v>
      </c>
      <c r="G61" s="218" t="s">
        <v>495</v>
      </c>
      <c r="H61" s="218"/>
      <c r="I61" s="218"/>
    </row>
    <row r="62" spans="1:4" ht="12.75">
      <c r="A62" s="60" t="s">
        <v>2</v>
      </c>
      <c r="B62" s="50" t="s">
        <v>2</v>
      </c>
      <c r="C62" s="64">
        <f>C14</f>
        <v>27000</v>
      </c>
      <c r="D62" s="16"/>
    </row>
    <row r="63" spans="1:4" ht="13.5" thickBot="1">
      <c r="A63" s="65" t="s">
        <v>72</v>
      </c>
      <c r="B63" s="72" t="s">
        <v>73</v>
      </c>
      <c r="C63" s="73">
        <v>191</v>
      </c>
      <c r="D63" s="16" t="s">
        <v>213</v>
      </c>
    </row>
    <row r="64" spans="1:4" ht="12.75">
      <c r="A64" s="74" t="s">
        <v>214</v>
      </c>
      <c r="B64" s="75"/>
      <c r="C64" s="76"/>
      <c r="D64" s="16"/>
    </row>
    <row r="65" spans="1:4" ht="12.75">
      <c r="A65" s="60" t="s">
        <v>74</v>
      </c>
      <c r="B65" s="50" t="s">
        <v>75</v>
      </c>
      <c r="C65" s="64">
        <f>C68*((C66+C67)^0.5)/(C66*C67)^0.5</f>
        <v>-0.36086169895263165</v>
      </c>
      <c r="D65" s="16" t="s">
        <v>211</v>
      </c>
    </row>
    <row r="66" spans="1:4" ht="12.75">
      <c r="A66" s="60" t="s">
        <v>40</v>
      </c>
      <c r="B66" s="50" t="s">
        <v>41</v>
      </c>
      <c r="C66" s="64">
        <f>C37</f>
        <v>82</v>
      </c>
      <c r="D66" s="16"/>
    </row>
    <row r="67" spans="1:4" ht="12.75">
      <c r="A67" s="60" t="s">
        <v>42</v>
      </c>
      <c r="B67" s="50" t="s">
        <v>43</v>
      </c>
      <c r="C67" s="64">
        <f>C38</f>
        <v>118</v>
      </c>
      <c r="D67" s="16"/>
    </row>
    <row r="68" spans="1:4" ht="13.5" thickBot="1">
      <c r="A68" s="65" t="s">
        <v>70</v>
      </c>
      <c r="B68" s="66" t="s">
        <v>71</v>
      </c>
      <c r="C68" s="67">
        <f>C54</f>
        <v>-2.51</v>
      </c>
      <c r="D68" s="16"/>
    </row>
    <row r="69" spans="1:4" ht="12.75">
      <c r="A69" s="74" t="s">
        <v>214</v>
      </c>
      <c r="B69" s="75"/>
      <c r="C69" s="76"/>
      <c r="D69" s="16"/>
    </row>
    <row r="70" spans="1:4" ht="12.75">
      <c r="A70" s="60" t="s">
        <v>74</v>
      </c>
      <c r="B70" s="50" t="s">
        <v>75</v>
      </c>
      <c r="C70" s="64">
        <f>(C71-C72)/(C73^0.5)</f>
        <v>0.7314859439366257</v>
      </c>
      <c r="D70" s="16" t="s">
        <v>212</v>
      </c>
    </row>
    <row r="71" spans="1:4" ht="12.75">
      <c r="A71" s="60" t="s">
        <v>29</v>
      </c>
      <c r="B71" s="62" t="s">
        <v>30</v>
      </c>
      <c r="C71" s="64">
        <f>C7</f>
        <v>3.569783197831978</v>
      </c>
      <c r="D71" s="16"/>
    </row>
    <row r="72" spans="1:4" ht="12.75">
      <c r="A72" s="60" t="s">
        <v>31</v>
      </c>
      <c r="B72" s="62" t="s">
        <v>32</v>
      </c>
      <c r="C72" s="64">
        <f>C8</f>
        <v>3.148305084745763</v>
      </c>
      <c r="D72" s="16"/>
    </row>
    <row r="73" spans="1:4" ht="15" thickBot="1">
      <c r="A73" s="65" t="s">
        <v>215</v>
      </c>
      <c r="B73" s="77" t="s">
        <v>216</v>
      </c>
      <c r="C73" s="73">
        <v>0.332</v>
      </c>
      <c r="D73" s="16"/>
    </row>
    <row r="74" spans="1:4" ht="13.5" thickBot="1">
      <c r="A74" s="16"/>
      <c r="B74" s="17"/>
      <c r="C74" s="17"/>
      <c r="D74" s="16"/>
    </row>
    <row r="75" spans="1:4" ht="13.5" thickBot="1">
      <c r="A75" s="69" t="s">
        <v>77</v>
      </c>
      <c r="B75" s="17"/>
      <c r="C75" s="17"/>
      <c r="D75" s="16"/>
    </row>
    <row r="76" spans="1:4" ht="12.75">
      <c r="A76" s="36" t="s">
        <v>77</v>
      </c>
      <c r="B76" s="58" t="s">
        <v>78</v>
      </c>
      <c r="C76" s="59">
        <f>(C77-C78)/C79</f>
        <v>0.6022771311117178</v>
      </c>
      <c r="D76" s="16"/>
    </row>
    <row r="77" spans="1:4" ht="12.75">
      <c r="A77" s="60" t="s">
        <v>29</v>
      </c>
      <c r="B77" s="62" t="s">
        <v>30</v>
      </c>
      <c r="C77" s="63">
        <f>C26</f>
        <v>3.6341463414634148</v>
      </c>
      <c r="D77" s="16"/>
    </row>
    <row r="78" spans="1:4" ht="12.75">
      <c r="A78" s="60" t="s">
        <v>31</v>
      </c>
      <c r="B78" s="62" t="s">
        <v>32</v>
      </c>
      <c r="C78" s="63">
        <f>C27</f>
        <v>3.0677966101694927</v>
      </c>
      <c r="D78" s="16"/>
    </row>
    <row r="79" spans="1:4" ht="15" thickBot="1">
      <c r="A79" s="40" t="s">
        <v>79</v>
      </c>
      <c r="B79" s="66" t="s">
        <v>205</v>
      </c>
      <c r="C79" s="67">
        <f>C31</f>
        <v>0.9403473949750029</v>
      </c>
      <c r="D79" s="16"/>
    </row>
    <row r="80" spans="1:4" ht="13.5" thickBot="1">
      <c r="A80" s="16"/>
      <c r="B80" s="17"/>
      <c r="C80" s="17"/>
      <c r="D80" s="16"/>
    </row>
    <row r="81" spans="1:4" ht="13.5" thickBot="1">
      <c r="A81" s="80" t="s">
        <v>80</v>
      </c>
      <c r="B81" s="78"/>
      <c r="C81" s="79" t="s">
        <v>81</v>
      </c>
      <c r="D81" s="16"/>
    </row>
    <row r="82" spans="1:4" ht="13.5" thickBot="1">
      <c r="A82" s="16"/>
      <c r="B82" s="17"/>
      <c r="C82" s="17"/>
      <c r="D82" s="16"/>
    </row>
    <row r="83" spans="1:4" ht="13.5" thickBot="1">
      <c r="A83" s="84" t="s">
        <v>84</v>
      </c>
      <c r="B83" s="17"/>
      <c r="C83" s="17"/>
      <c r="D83" s="16"/>
    </row>
    <row r="84" spans="1:4" ht="12.75">
      <c r="A84" s="57" t="s">
        <v>84</v>
      </c>
      <c r="B84" s="58" t="s">
        <v>85</v>
      </c>
      <c r="C84" s="59">
        <f>(2*C85)-C86</f>
        <v>1.3353980443779392</v>
      </c>
      <c r="D84" s="16" t="s">
        <v>86</v>
      </c>
    </row>
    <row r="85" spans="1:4" ht="12.75">
      <c r="A85" s="60" t="s">
        <v>87</v>
      </c>
      <c r="B85" s="50" t="s">
        <v>88</v>
      </c>
      <c r="C85" s="64">
        <f>C6</f>
        <v>0.6676990221889696</v>
      </c>
      <c r="D85" s="16"/>
    </row>
    <row r="86" spans="1:4" ht="12.75">
      <c r="A86" s="60" t="s">
        <v>89</v>
      </c>
      <c r="B86" s="51" t="s">
        <v>90</v>
      </c>
      <c r="C86" s="82">
        <v>0</v>
      </c>
      <c r="D86" s="16"/>
    </row>
    <row r="87" spans="1:4" ht="14.25">
      <c r="A87" s="60" t="s">
        <v>91</v>
      </c>
      <c r="B87" s="83" t="s">
        <v>217</v>
      </c>
      <c r="C87" s="64">
        <f>((4*C15)/(1+3*C15))^0.5</f>
        <v>0.08034421106214745</v>
      </c>
      <c r="D87" s="16" t="s">
        <v>92</v>
      </c>
    </row>
    <row r="88" spans="1:4" ht="13.5" thickBot="1">
      <c r="A88" s="65" t="s">
        <v>93</v>
      </c>
      <c r="B88" s="66" t="s">
        <v>94</v>
      </c>
      <c r="C88" s="67"/>
      <c r="D88" s="16"/>
    </row>
    <row r="89" spans="1:4" ht="13.5" thickBot="1">
      <c r="A89" s="16"/>
      <c r="B89" s="17"/>
      <c r="C89" s="17"/>
      <c r="D89" s="16"/>
    </row>
    <row r="90" spans="1:4" ht="13.5" thickBot="1">
      <c r="A90" s="94" t="s">
        <v>95</v>
      </c>
      <c r="B90" s="17"/>
      <c r="C90" s="17"/>
      <c r="D90" s="16"/>
    </row>
    <row r="91" spans="1:4" ht="12.75">
      <c r="A91" s="88" t="s">
        <v>96</v>
      </c>
      <c r="B91" s="89" t="s">
        <v>97</v>
      </c>
      <c r="C91" s="90">
        <f>((C92-C93)/C92)*C94/C93</f>
        <v>0.0009876170556638306</v>
      </c>
      <c r="D91" s="16"/>
    </row>
    <row r="92" spans="1:4" ht="12.75">
      <c r="A92" s="91" t="s">
        <v>98</v>
      </c>
      <c r="B92" s="85" t="s">
        <v>2</v>
      </c>
      <c r="C92" s="87">
        <v>436</v>
      </c>
      <c r="D92" s="16"/>
    </row>
    <row r="93" spans="1:4" ht="12.75">
      <c r="A93" s="91" t="s">
        <v>99</v>
      </c>
      <c r="B93" s="85" t="s">
        <v>100</v>
      </c>
      <c r="C93" s="87">
        <v>193</v>
      </c>
      <c r="D93" s="16"/>
    </row>
    <row r="94" spans="1:4" ht="15.75">
      <c r="A94" s="91" t="s">
        <v>101</v>
      </c>
      <c r="B94" s="85" t="s">
        <v>219</v>
      </c>
      <c r="C94" s="87">
        <v>0.342</v>
      </c>
      <c r="D94" s="16"/>
    </row>
    <row r="95" spans="1:4" ht="12.75">
      <c r="A95" s="91" t="s">
        <v>102</v>
      </c>
      <c r="B95" s="92" t="s">
        <v>103</v>
      </c>
      <c r="C95" s="93">
        <f>C91^0.5</f>
        <v>0.031426375159471234</v>
      </c>
      <c r="D95" s="16"/>
    </row>
    <row r="96" spans="1:4" ht="12.75">
      <c r="A96" s="91" t="s">
        <v>104</v>
      </c>
      <c r="B96" s="92" t="s">
        <v>105</v>
      </c>
      <c r="C96" s="93">
        <f>((C92-C93)/(C92-1))^0.5</f>
        <v>0.7474093186836597</v>
      </c>
      <c r="D96" s="16"/>
    </row>
    <row r="97" spans="1:4" ht="12.75">
      <c r="A97" s="91" t="s">
        <v>59</v>
      </c>
      <c r="B97" s="92" t="s">
        <v>60</v>
      </c>
      <c r="C97" s="93">
        <f>1-C98</f>
        <v>0.95</v>
      </c>
      <c r="D97" s="16"/>
    </row>
    <row r="98" spans="1:4" ht="12.75">
      <c r="A98" s="91" t="s">
        <v>61</v>
      </c>
      <c r="B98" s="85" t="s">
        <v>61</v>
      </c>
      <c r="C98" s="87">
        <v>0.05</v>
      </c>
      <c r="D98" s="16"/>
    </row>
    <row r="99" spans="1:4" ht="12.75">
      <c r="A99" s="91" t="s">
        <v>62</v>
      </c>
      <c r="B99" s="92" t="s">
        <v>83</v>
      </c>
      <c r="C99" s="93">
        <f>1-(C98/2)</f>
        <v>0.975</v>
      </c>
      <c r="D99" s="16"/>
    </row>
    <row r="100" spans="1:4" ht="12.75">
      <c r="A100" s="91" t="s">
        <v>63</v>
      </c>
      <c r="B100" s="92" t="s">
        <v>56</v>
      </c>
      <c r="C100" s="93">
        <f>NORMSINV(C99)</f>
        <v>1.959963984540054</v>
      </c>
      <c r="D100" s="16"/>
    </row>
    <row r="101" spans="1:4" ht="12.75">
      <c r="A101" s="91" t="s">
        <v>106</v>
      </c>
      <c r="B101" s="85" t="s">
        <v>13</v>
      </c>
      <c r="C101" s="87">
        <v>4.617</v>
      </c>
      <c r="D101" s="16"/>
    </row>
    <row r="102" spans="1:4" ht="12.75">
      <c r="A102" s="91" t="s">
        <v>107</v>
      </c>
      <c r="B102" s="92" t="s">
        <v>108</v>
      </c>
      <c r="C102" s="93">
        <f>C101-(C100*C95)</f>
        <v>4.5554054365227925</v>
      </c>
      <c r="D102" s="16"/>
    </row>
    <row r="103" spans="1:4" ht="12.75">
      <c r="A103" s="91" t="s">
        <v>109</v>
      </c>
      <c r="B103" s="92" t="s">
        <v>110</v>
      </c>
      <c r="C103" s="93">
        <f>C101+C100*C95</f>
        <v>4.6785945634772075</v>
      </c>
      <c r="D103" s="16"/>
    </row>
    <row r="104" spans="1:4" ht="12.75">
      <c r="A104" s="91" t="s">
        <v>229</v>
      </c>
      <c r="B104" s="50" t="s">
        <v>230</v>
      </c>
      <c r="C104" s="120">
        <f>C103-C102</f>
        <v>0.12318912695441497</v>
      </c>
      <c r="D104" s="16"/>
    </row>
    <row r="105" spans="1:4" ht="12.75">
      <c r="A105" s="91" t="s">
        <v>231</v>
      </c>
      <c r="B105" s="50" t="s">
        <v>232</v>
      </c>
      <c r="C105" s="93">
        <f>C104/C101</f>
        <v>0.026681638933163304</v>
      </c>
      <c r="D105" s="16"/>
    </row>
    <row r="106" spans="1:4" ht="12.75">
      <c r="A106" s="91" t="s">
        <v>233</v>
      </c>
      <c r="B106" s="50" t="s">
        <v>234</v>
      </c>
      <c r="C106" s="93">
        <f>C105*100</f>
        <v>2.6681638933163305</v>
      </c>
      <c r="D106" s="16"/>
    </row>
    <row r="107" spans="1:4" ht="12.75">
      <c r="A107" s="91" t="s">
        <v>260</v>
      </c>
      <c r="B107" s="92" t="s">
        <v>236</v>
      </c>
      <c r="C107" s="120">
        <f>C100*C95</f>
        <v>0.06159456347720782</v>
      </c>
      <c r="D107" s="16" t="s">
        <v>251</v>
      </c>
    </row>
    <row r="108" spans="1:4" ht="12.75">
      <c r="A108" s="91" t="s">
        <v>261</v>
      </c>
      <c r="B108" s="92" t="s">
        <v>237</v>
      </c>
      <c r="C108" s="121">
        <f>C107/C101</f>
        <v>0.013340819466581723</v>
      </c>
      <c r="D108" s="16"/>
    </row>
    <row r="109" spans="1:4" ht="12.75">
      <c r="A109" s="91" t="s">
        <v>248</v>
      </c>
      <c r="B109" s="92" t="s">
        <v>239</v>
      </c>
      <c r="C109" s="121">
        <f>C108*100</f>
        <v>1.3340819466581724</v>
      </c>
      <c r="D109" s="16"/>
    </row>
    <row r="110" spans="1:4" ht="12.75">
      <c r="A110" s="91" t="s">
        <v>240</v>
      </c>
      <c r="B110" s="85" t="s">
        <v>241</v>
      </c>
      <c r="C110" s="87">
        <v>5</v>
      </c>
      <c r="D110" s="16"/>
    </row>
    <row r="111" spans="1:4" ht="12.75">
      <c r="A111" s="91" t="s">
        <v>244</v>
      </c>
      <c r="B111" s="92" t="s">
        <v>246</v>
      </c>
      <c r="C111" s="121">
        <f>C107/C110</f>
        <v>0.012318912695441563</v>
      </c>
      <c r="D111" s="16"/>
    </row>
    <row r="112" spans="1:4" ht="12.75">
      <c r="A112" s="91" t="s">
        <v>245</v>
      </c>
      <c r="B112" s="92" t="s">
        <v>247</v>
      </c>
      <c r="C112" s="121">
        <f>C111*100</f>
        <v>1.2318912695441564</v>
      </c>
      <c r="D112" s="16"/>
    </row>
    <row r="113" spans="1:4" ht="13.5" thickBot="1">
      <c r="A113" s="91" t="s">
        <v>242</v>
      </c>
      <c r="B113" s="92" t="s">
        <v>243</v>
      </c>
      <c r="C113" s="121">
        <f>100-C112</f>
        <v>98.76810873045585</v>
      </c>
      <c r="D113" s="16"/>
    </row>
    <row r="114" spans="1:4" ht="13.5" thickBot="1">
      <c r="A114" s="108" t="s">
        <v>220</v>
      </c>
      <c r="B114" s="92"/>
      <c r="C114" s="93"/>
      <c r="D114" s="16"/>
    </row>
    <row r="115" spans="1:4" ht="12.75">
      <c r="A115" s="88" t="s">
        <v>96</v>
      </c>
      <c r="B115" s="89" t="s">
        <v>97</v>
      </c>
      <c r="C115" s="90">
        <f>C118/C117</f>
        <v>0.0017772020725388602</v>
      </c>
      <c r="D115" s="16"/>
    </row>
    <row r="116" spans="1:4" ht="12.75">
      <c r="A116" s="91" t="s">
        <v>98</v>
      </c>
      <c r="B116" s="85" t="s">
        <v>2</v>
      </c>
      <c r="C116" s="87">
        <f>436</f>
        <v>436</v>
      </c>
      <c r="D116" s="16"/>
    </row>
    <row r="117" spans="1:4" ht="12.75">
      <c r="A117" s="91" t="s">
        <v>99</v>
      </c>
      <c r="B117" s="85" t="s">
        <v>100</v>
      </c>
      <c r="C117" s="87">
        <v>193</v>
      </c>
      <c r="D117" s="16"/>
    </row>
    <row r="118" spans="1:4" ht="15.75">
      <c r="A118" s="91" t="s">
        <v>101</v>
      </c>
      <c r="B118" s="85" t="s">
        <v>219</v>
      </c>
      <c r="C118" s="87">
        <v>0.343</v>
      </c>
      <c r="D118" s="16"/>
    </row>
    <row r="119" spans="1:4" ht="12.75">
      <c r="A119" s="91" t="s">
        <v>102</v>
      </c>
      <c r="B119" s="92" t="s">
        <v>103</v>
      </c>
      <c r="C119" s="93">
        <f>C115^0.5</f>
        <v>0.04215687455847338</v>
      </c>
      <c r="D119" s="16"/>
    </row>
    <row r="120" spans="1:4" ht="12.75">
      <c r="A120" s="91" t="s">
        <v>59</v>
      </c>
      <c r="B120" s="92" t="s">
        <v>60</v>
      </c>
      <c r="C120" s="93">
        <f>1-C121</f>
        <v>0.95</v>
      </c>
      <c r="D120" s="16"/>
    </row>
    <row r="121" spans="1:4" ht="12.75">
      <c r="A121" s="91" t="s">
        <v>61</v>
      </c>
      <c r="B121" s="85" t="s">
        <v>61</v>
      </c>
      <c r="C121" s="86">
        <v>0.05</v>
      </c>
      <c r="D121" s="16"/>
    </row>
    <row r="122" spans="1:4" ht="12.75">
      <c r="A122" s="91" t="s">
        <v>62</v>
      </c>
      <c r="B122" s="92" t="s">
        <v>83</v>
      </c>
      <c r="C122" s="93">
        <f>1-(C121/2)</f>
        <v>0.975</v>
      </c>
      <c r="D122" s="16"/>
    </row>
    <row r="123" spans="1:4" ht="12.75">
      <c r="A123" s="91" t="s">
        <v>63</v>
      </c>
      <c r="B123" s="92" t="s">
        <v>56</v>
      </c>
      <c r="C123" s="93">
        <f>NORMSINV(C122)</f>
        <v>1.959963984540054</v>
      </c>
      <c r="D123" s="16"/>
    </row>
    <row r="124" spans="1:4" ht="12.75">
      <c r="A124" s="91" t="s">
        <v>106</v>
      </c>
      <c r="B124" s="85" t="s">
        <v>13</v>
      </c>
      <c r="C124" s="86">
        <v>4.617</v>
      </c>
      <c r="D124" s="16"/>
    </row>
    <row r="125" spans="1:4" ht="12.75">
      <c r="A125" s="91" t="s">
        <v>107</v>
      </c>
      <c r="B125" s="92" t="s">
        <v>108</v>
      </c>
      <c r="C125" s="93">
        <f>C124-(C123*C119)</f>
        <v>4.534374044164619</v>
      </c>
      <c r="D125" s="16"/>
    </row>
    <row r="126" spans="1:4" ht="12.75">
      <c r="A126" s="91" t="s">
        <v>109</v>
      </c>
      <c r="B126" s="92" t="s">
        <v>110</v>
      </c>
      <c r="C126" s="93">
        <f>C124+C123*C119</f>
        <v>4.699625955835381</v>
      </c>
      <c r="D126" s="16"/>
    </row>
    <row r="127" spans="1:4" ht="12.75">
      <c r="A127" s="91" t="s">
        <v>229</v>
      </c>
      <c r="B127" s="50" t="s">
        <v>230</v>
      </c>
      <c r="C127" s="120">
        <f>C126-C125</f>
        <v>0.1652519116707616</v>
      </c>
      <c r="D127" s="16"/>
    </row>
    <row r="128" spans="1:4" ht="12.75">
      <c r="A128" s="91" t="s">
        <v>231</v>
      </c>
      <c r="B128" s="50" t="s">
        <v>232</v>
      </c>
      <c r="C128" s="93">
        <f>C127/C125</f>
        <v>0.03644426111767902</v>
      </c>
      <c r="D128" s="16"/>
    </row>
    <row r="129" spans="1:4" ht="12.75">
      <c r="A129" s="91" t="s">
        <v>233</v>
      </c>
      <c r="B129" s="50" t="s">
        <v>234</v>
      </c>
      <c r="C129" s="93">
        <f>C128*100</f>
        <v>3.6444261117679018</v>
      </c>
      <c r="D129" s="16"/>
    </row>
    <row r="130" spans="1:4" ht="12.75">
      <c r="A130" s="91" t="s">
        <v>235</v>
      </c>
      <c r="B130" s="92" t="s">
        <v>236</v>
      </c>
      <c r="C130" s="120">
        <f>C123*C119</f>
        <v>0.08262595583538072</v>
      </c>
      <c r="D130" s="16"/>
    </row>
    <row r="131" spans="1:4" ht="12.75">
      <c r="A131" s="91" t="s">
        <v>222</v>
      </c>
      <c r="B131" s="92" t="s">
        <v>237</v>
      </c>
      <c r="C131" s="121">
        <f>C130/C124</f>
        <v>0.017896026821611594</v>
      </c>
      <c r="D131" s="16"/>
    </row>
    <row r="132" spans="1:4" ht="12.75">
      <c r="A132" s="91" t="s">
        <v>238</v>
      </c>
      <c r="B132" s="92" t="s">
        <v>239</v>
      </c>
      <c r="C132" s="121">
        <f>C131*100</f>
        <v>1.7896026821611595</v>
      </c>
      <c r="D132" s="16"/>
    </row>
    <row r="133" spans="1:4" ht="12.75">
      <c r="A133" s="91" t="s">
        <v>240</v>
      </c>
      <c r="B133" s="85" t="s">
        <v>241</v>
      </c>
      <c r="C133" s="86">
        <v>5</v>
      </c>
      <c r="D133" s="16"/>
    </row>
    <row r="134" spans="1:4" ht="12.75">
      <c r="A134" s="91" t="s">
        <v>244</v>
      </c>
      <c r="B134" s="92" t="s">
        <v>246</v>
      </c>
      <c r="C134" s="121">
        <f>C130/C133</f>
        <v>0.016525191167076146</v>
      </c>
      <c r="D134" s="16"/>
    </row>
    <row r="135" spans="1:4" ht="12.75">
      <c r="A135" s="91" t="s">
        <v>245</v>
      </c>
      <c r="B135" s="92" t="s">
        <v>247</v>
      </c>
      <c r="C135" s="121">
        <f>C134*100</f>
        <v>1.6525191167076145</v>
      </c>
      <c r="D135" s="16"/>
    </row>
    <row r="136" spans="1:4" ht="13.5" thickBot="1">
      <c r="A136" s="91" t="s">
        <v>242</v>
      </c>
      <c r="B136" s="92" t="s">
        <v>243</v>
      </c>
      <c r="C136" s="121">
        <f>100-C135</f>
        <v>98.34748088329239</v>
      </c>
      <c r="D136" s="16"/>
    </row>
    <row r="137" spans="1:4" ht="13.5" thickBot="1">
      <c r="A137" s="110" t="s">
        <v>223</v>
      </c>
      <c r="B137" s="25"/>
      <c r="C137" s="25"/>
      <c r="D137" s="16"/>
    </row>
    <row r="138" spans="1:4" ht="12.75">
      <c r="A138" s="112" t="s">
        <v>98</v>
      </c>
      <c r="B138" s="113" t="s">
        <v>2</v>
      </c>
      <c r="C138" s="122">
        <f>436</f>
        <v>436</v>
      </c>
      <c r="D138" s="16"/>
    </row>
    <row r="139" spans="1:4" ht="12.75">
      <c r="A139" s="114" t="s">
        <v>99</v>
      </c>
      <c r="B139" s="115" t="s">
        <v>100</v>
      </c>
      <c r="C139" s="123">
        <f>C143^2*C138*C144/((C143^2*C144)+((C138-1)*C146^2))</f>
        <v>193.54222666231416</v>
      </c>
      <c r="D139" s="16"/>
    </row>
    <row r="140" spans="1:4" ht="12.75">
      <c r="A140" s="114" t="s">
        <v>59</v>
      </c>
      <c r="B140" s="116" t="s">
        <v>60</v>
      </c>
      <c r="C140" s="123">
        <f>1-C141</f>
        <v>0.95</v>
      </c>
      <c r="D140" s="16"/>
    </row>
    <row r="141" spans="1:4" ht="12.75">
      <c r="A141" s="114" t="s">
        <v>61</v>
      </c>
      <c r="B141" s="117" t="s">
        <v>61</v>
      </c>
      <c r="C141" s="124">
        <v>0.05</v>
      </c>
      <c r="D141" s="16"/>
    </row>
    <row r="142" spans="1:4" ht="12.75">
      <c r="A142" s="114" t="s">
        <v>62</v>
      </c>
      <c r="B142" s="116" t="s">
        <v>83</v>
      </c>
      <c r="C142" s="123">
        <f>1-C141/2</f>
        <v>0.975</v>
      </c>
      <c r="D142" s="16"/>
    </row>
    <row r="143" spans="1:4" ht="12.75">
      <c r="A143" s="114" t="s">
        <v>63</v>
      </c>
      <c r="B143" s="116" t="s">
        <v>56</v>
      </c>
      <c r="C143" s="123">
        <f>NORMSINV(C142)</f>
        <v>1.959963984540054</v>
      </c>
      <c r="D143" s="16"/>
    </row>
    <row r="144" spans="1:4" ht="12.75">
      <c r="A144" s="114" t="s">
        <v>259</v>
      </c>
      <c r="B144" s="117" t="s">
        <v>221</v>
      </c>
      <c r="C144" s="124">
        <v>0.343</v>
      </c>
      <c r="D144" s="16"/>
    </row>
    <row r="145" spans="1:4" ht="12.75">
      <c r="A145" s="114" t="s">
        <v>104</v>
      </c>
      <c r="B145" s="116" t="s">
        <v>105</v>
      </c>
      <c r="C145" s="123">
        <f>((C138-C139)/(C138-1))^0.5</f>
        <v>0.7465749738511779</v>
      </c>
      <c r="D145" s="16"/>
    </row>
    <row r="146" spans="1:4" ht="12.75">
      <c r="A146" s="114" t="s">
        <v>235</v>
      </c>
      <c r="B146" s="115" t="s">
        <v>228</v>
      </c>
      <c r="C146" s="125">
        <f>C148*C147</f>
        <v>0.06159999999999996</v>
      </c>
      <c r="D146" s="16"/>
    </row>
    <row r="147" spans="1:4" ht="12.75">
      <c r="A147" s="114" t="s">
        <v>240</v>
      </c>
      <c r="B147" s="117" t="s">
        <v>241</v>
      </c>
      <c r="C147" s="124">
        <v>5</v>
      </c>
      <c r="D147" s="16"/>
    </row>
    <row r="148" spans="1:4" ht="13.5" thickBot="1">
      <c r="A148" s="114" t="s">
        <v>244</v>
      </c>
      <c r="B148" s="116" t="s">
        <v>246</v>
      </c>
      <c r="C148" s="126">
        <f>C149/100</f>
        <v>0.012319999999999992</v>
      </c>
      <c r="D148" s="16"/>
    </row>
    <row r="149" spans="1:4" ht="13.5" thickBot="1">
      <c r="A149" s="114" t="s">
        <v>245</v>
      </c>
      <c r="B149" s="115" t="s">
        <v>247</v>
      </c>
      <c r="C149" s="126">
        <f>100-C150</f>
        <v>1.2319999999999993</v>
      </c>
      <c r="D149" s="16"/>
    </row>
    <row r="150" spans="1:4" ht="13.5" thickBot="1">
      <c r="A150" s="114" t="s">
        <v>242</v>
      </c>
      <c r="B150" s="117" t="s">
        <v>243</v>
      </c>
      <c r="C150" s="124">
        <v>98.768</v>
      </c>
      <c r="D150" s="16"/>
    </row>
    <row r="151" spans="1:4" ht="13.5" thickBot="1">
      <c r="A151" s="110" t="s">
        <v>252</v>
      </c>
      <c r="B151" s="115"/>
      <c r="C151" s="132"/>
      <c r="D151" s="16"/>
    </row>
    <row r="152" spans="1:4" ht="12.75">
      <c r="A152" s="112" t="s">
        <v>98</v>
      </c>
      <c r="B152" s="113" t="s">
        <v>2</v>
      </c>
      <c r="C152" s="122">
        <f>436</f>
        <v>436</v>
      </c>
      <c r="D152" s="16"/>
    </row>
    <row r="153" spans="1:4" ht="12.75">
      <c r="A153" s="114" t="s">
        <v>99</v>
      </c>
      <c r="B153" s="115" t="s">
        <v>100</v>
      </c>
      <c r="C153" s="123">
        <f>C157^2*C152*C158/((C157^2*C158)+((C152-1)*C160^2))</f>
        <v>393.7070745665435</v>
      </c>
      <c r="D153" s="16"/>
    </row>
    <row r="154" spans="1:4" ht="12.75">
      <c r="A154" s="114" t="s">
        <v>59</v>
      </c>
      <c r="B154" s="116" t="s">
        <v>60</v>
      </c>
      <c r="C154" s="123">
        <f>1-C155</f>
        <v>0.95</v>
      </c>
      <c r="D154" s="16"/>
    </row>
    <row r="155" spans="1:4" ht="12.75">
      <c r="A155" s="114" t="s">
        <v>61</v>
      </c>
      <c r="B155" s="117" t="s">
        <v>61</v>
      </c>
      <c r="C155" s="124">
        <v>0.05</v>
      </c>
      <c r="D155" s="16"/>
    </row>
    <row r="156" spans="1:4" ht="12.75">
      <c r="A156" s="114" t="s">
        <v>62</v>
      </c>
      <c r="B156" s="116" t="s">
        <v>83</v>
      </c>
      <c r="C156" s="123">
        <f>1-C155/2</f>
        <v>0.975</v>
      </c>
      <c r="D156" s="16"/>
    </row>
    <row r="157" spans="1:4" ht="12.75">
      <c r="A157" s="114" t="s">
        <v>63</v>
      </c>
      <c r="B157" s="116" t="s">
        <v>56</v>
      </c>
      <c r="C157" s="123">
        <f>NORMSINV(C156)</f>
        <v>1.959963984540054</v>
      </c>
      <c r="D157" s="16"/>
    </row>
    <row r="158" spans="1:4" ht="12.75">
      <c r="A158" s="114" t="s">
        <v>257</v>
      </c>
      <c r="B158" s="117" t="s">
        <v>221</v>
      </c>
      <c r="C158" s="124">
        <v>4</v>
      </c>
      <c r="D158" s="16" t="s">
        <v>258</v>
      </c>
    </row>
    <row r="159" spans="1:4" ht="12.75">
      <c r="A159" s="114" t="s">
        <v>104</v>
      </c>
      <c r="B159" s="116" t="s">
        <v>105</v>
      </c>
      <c r="C159" s="123">
        <f>((C152-C153)/(C152-1))^0.5</f>
        <v>0.3118094224666414</v>
      </c>
      <c r="D159" s="16"/>
    </row>
    <row r="160" spans="1:4" ht="12.75">
      <c r="A160" s="114" t="s">
        <v>235</v>
      </c>
      <c r="B160" s="115" t="s">
        <v>228</v>
      </c>
      <c r="C160" s="125">
        <f>C162*C161</f>
        <v>0.06159999999999996</v>
      </c>
      <c r="D160" s="16"/>
    </row>
    <row r="161" spans="1:4" ht="12.75">
      <c r="A161" s="114" t="s">
        <v>240</v>
      </c>
      <c r="B161" s="117" t="s">
        <v>241</v>
      </c>
      <c r="C161" s="124">
        <v>5</v>
      </c>
      <c r="D161" s="16"/>
    </row>
    <row r="162" spans="1:4" ht="13.5" thickBot="1">
      <c r="A162" s="114" t="s">
        <v>244</v>
      </c>
      <c r="B162" s="116" t="s">
        <v>246</v>
      </c>
      <c r="C162" s="126">
        <f>C163/100</f>
        <v>0.012319999999999992</v>
      </c>
      <c r="D162" s="16"/>
    </row>
    <row r="163" spans="1:4" ht="13.5" thickBot="1">
      <c r="A163" s="114" t="s">
        <v>245</v>
      </c>
      <c r="B163" s="115" t="s">
        <v>247</v>
      </c>
      <c r="C163" s="126">
        <f>100-C164</f>
        <v>1.2319999999999993</v>
      </c>
      <c r="D163" s="16"/>
    </row>
    <row r="164" spans="1:4" ht="13.5" thickBot="1">
      <c r="A164" s="118" t="s">
        <v>242</v>
      </c>
      <c r="B164" s="119" t="s">
        <v>243</v>
      </c>
      <c r="C164" s="127">
        <v>98.768</v>
      </c>
      <c r="D164" s="16"/>
    </row>
    <row r="165" spans="1:4" ht="12.75">
      <c r="A165" s="131"/>
      <c r="B165" s="115"/>
      <c r="C165" s="132"/>
      <c r="D165" s="16"/>
    </row>
    <row r="166" spans="1:4" ht="13.5" thickBot="1">
      <c r="A166" s="111" t="s">
        <v>249</v>
      </c>
      <c r="B166" s="25"/>
      <c r="C166" s="25"/>
      <c r="D166" s="16"/>
    </row>
    <row r="167" spans="1:4" ht="12.75">
      <c r="A167" s="96" t="s">
        <v>98</v>
      </c>
      <c r="B167" s="97" t="s">
        <v>2</v>
      </c>
      <c r="C167" s="98">
        <v>436</v>
      </c>
      <c r="D167" s="16"/>
    </row>
    <row r="168" spans="1:4" ht="12.75">
      <c r="A168" s="99" t="s">
        <v>99</v>
      </c>
      <c r="B168" s="100" t="s">
        <v>100</v>
      </c>
      <c r="C168" s="101">
        <f>C172^2*C167*C173*C174/(((C167-1)*C176^2)+(C172^2*C173*C174))</f>
        <v>204.46614974018917</v>
      </c>
      <c r="D168" s="16"/>
    </row>
    <row r="169" spans="1:4" ht="12.75">
      <c r="A169" s="99" t="s">
        <v>59</v>
      </c>
      <c r="B169" s="102" t="s">
        <v>60</v>
      </c>
      <c r="C169" s="101">
        <f>1-C170</f>
        <v>0.95</v>
      </c>
      <c r="D169" s="16"/>
    </row>
    <row r="170" spans="1:4" ht="12.75">
      <c r="A170" s="99" t="s">
        <v>61</v>
      </c>
      <c r="B170" s="103" t="s">
        <v>61</v>
      </c>
      <c r="C170" s="104">
        <v>0.05</v>
      </c>
      <c r="D170" s="16"/>
    </row>
    <row r="171" spans="1:4" ht="12.75">
      <c r="A171" s="99" t="s">
        <v>62</v>
      </c>
      <c r="B171" s="102" t="s">
        <v>83</v>
      </c>
      <c r="C171" s="101">
        <f>1-C170/2</f>
        <v>0.975</v>
      </c>
      <c r="D171" s="16"/>
    </row>
    <row r="172" spans="1:4" ht="12.75">
      <c r="A172" s="99" t="s">
        <v>63</v>
      </c>
      <c r="B172" s="102" t="s">
        <v>56</v>
      </c>
      <c r="C172" s="101">
        <f>NORMSINV(C171)</f>
        <v>1.959963984540054</v>
      </c>
      <c r="D172" s="16"/>
    </row>
    <row r="173" spans="1:4" ht="12.75">
      <c r="A173" s="99" t="s">
        <v>224</v>
      </c>
      <c r="B173" s="103" t="s">
        <v>225</v>
      </c>
      <c r="C173" s="104">
        <v>0.5</v>
      </c>
      <c r="D173" s="16"/>
    </row>
    <row r="174" spans="1:4" ht="12.75">
      <c r="A174" s="99" t="s">
        <v>226</v>
      </c>
      <c r="B174" s="102" t="s">
        <v>227</v>
      </c>
      <c r="C174" s="101">
        <f>1-C173</f>
        <v>0.5</v>
      </c>
      <c r="D174" s="16"/>
    </row>
    <row r="175" spans="1:4" ht="12.75">
      <c r="A175" s="99" t="s">
        <v>104</v>
      </c>
      <c r="B175" s="102" t="s">
        <v>105</v>
      </c>
      <c r="C175" s="101">
        <f>((C167-C168)/(C167-1))^0.5</f>
        <v>0.7295626941772704</v>
      </c>
      <c r="D175" s="16"/>
    </row>
    <row r="176" spans="1:4" ht="12.75">
      <c r="A176" s="99" t="s">
        <v>250</v>
      </c>
      <c r="B176" s="100" t="s">
        <v>228</v>
      </c>
      <c r="C176" s="128">
        <f>C178*C177</f>
        <v>0.05</v>
      </c>
      <c r="D176" s="16"/>
    </row>
    <row r="177" spans="1:4" ht="12.75">
      <c r="A177" s="99" t="s">
        <v>240</v>
      </c>
      <c r="B177" s="103" t="s">
        <v>241</v>
      </c>
      <c r="C177" s="129">
        <v>1</v>
      </c>
      <c r="D177" s="16"/>
    </row>
    <row r="178" spans="1:4" ht="13.5" thickBot="1">
      <c r="A178" s="99" t="s">
        <v>244</v>
      </c>
      <c r="B178" s="102" t="s">
        <v>246</v>
      </c>
      <c r="C178" s="106">
        <f>C179/100</f>
        <v>0.05</v>
      </c>
      <c r="D178" s="16"/>
    </row>
    <row r="179" spans="1:4" ht="13.5" thickBot="1">
      <c r="A179" s="99" t="s">
        <v>245</v>
      </c>
      <c r="B179" s="100" t="s">
        <v>247</v>
      </c>
      <c r="C179" s="106">
        <f>100-C180</f>
        <v>5</v>
      </c>
      <c r="D179" s="16"/>
    </row>
    <row r="180" spans="1:4" ht="13.5" thickBot="1">
      <c r="A180" s="105" t="s">
        <v>242</v>
      </c>
      <c r="B180" s="107" t="s">
        <v>243</v>
      </c>
      <c r="C180" s="130">
        <v>95</v>
      </c>
      <c r="D180" s="16"/>
    </row>
    <row r="181" spans="1:4" ht="12.75">
      <c r="A181" s="109"/>
      <c r="B181" s="103"/>
      <c r="C181" s="103"/>
      <c r="D181" s="16"/>
    </row>
    <row r="182" spans="1:4" ht="13.5" thickBot="1">
      <c r="A182" s="95"/>
      <c r="B182" s="92"/>
      <c r="C182" s="92"/>
      <c r="D182" s="16"/>
    </row>
    <row r="183" spans="1:4" ht="13.5" thickBot="1">
      <c r="A183" s="133" t="s">
        <v>262</v>
      </c>
      <c r="B183" s="17"/>
      <c r="C183" s="17"/>
      <c r="D183" s="16"/>
    </row>
    <row r="184" spans="1:9" ht="12.75">
      <c r="A184" s="112" t="s">
        <v>96</v>
      </c>
      <c r="B184" s="134" t="s">
        <v>97</v>
      </c>
      <c r="C184" s="135">
        <f>((C185-C186)/C185)*C187/C186</f>
        <v>0.003675116133082235</v>
      </c>
      <c r="D184" s="16"/>
      <c r="F184" s="218" t="s">
        <v>0</v>
      </c>
      <c r="G184" s="218"/>
      <c r="H184" s="218"/>
      <c r="I184" s="218"/>
    </row>
    <row r="185" spans="1:9" ht="12.75">
      <c r="A185" s="114" t="s">
        <v>98</v>
      </c>
      <c r="B185" s="117" t="s">
        <v>2</v>
      </c>
      <c r="C185" s="124">
        <v>15930</v>
      </c>
      <c r="D185" s="16"/>
      <c r="F185" s="218" t="s">
        <v>496</v>
      </c>
      <c r="G185" s="218"/>
      <c r="H185" s="218"/>
      <c r="I185" s="218"/>
    </row>
    <row r="186" spans="1:10" ht="12.75">
      <c r="A186" s="114" t="s">
        <v>99</v>
      </c>
      <c r="B186" s="117" t="s">
        <v>100</v>
      </c>
      <c r="C186" s="124">
        <v>118</v>
      </c>
      <c r="D186" s="16"/>
      <c r="F186" s="218" t="s">
        <v>491</v>
      </c>
      <c r="G186" s="218" t="s">
        <v>3</v>
      </c>
      <c r="H186" s="218" t="s">
        <v>4</v>
      </c>
      <c r="I186" s="218" t="s">
        <v>2</v>
      </c>
      <c r="J186" s="219" t="s">
        <v>498</v>
      </c>
    </row>
    <row r="187" spans="1:11" ht="15.75">
      <c r="A187" s="114" t="s">
        <v>101</v>
      </c>
      <c r="B187" s="117" t="s">
        <v>263</v>
      </c>
      <c r="C187" s="124">
        <v>0.4369</v>
      </c>
      <c r="D187" s="16"/>
      <c r="F187" s="218" t="s">
        <v>492</v>
      </c>
      <c r="G187" s="218">
        <v>3.569783197831978</v>
      </c>
      <c r="H187" s="218">
        <v>0.585594674642626</v>
      </c>
      <c r="I187" s="218">
        <v>82</v>
      </c>
      <c r="J187">
        <f>H187^2</f>
        <v>0.34292112296980304</v>
      </c>
      <c r="K187">
        <f>(I187/I189)*27000</f>
        <v>11070</v>
      </c>
    </row>
    <row r="188" spans="1:11" ht="12.75">
      <c r="A188" s="114" t="s">
        <v>102</v>
      </c>
      <c r="B188" s="116" t="s">
        <v>103</v>
      </c>
      <c r="C188" s="123">
        <f>C184^0.5</f>
        <v>0.060622736106862044</v>
      </c>
      <c r="D188" s="16"/>
      <c r="F188" s="218" t="s">
        <v>493</v>
      </c>
      <c r="G188" s="218">
        <v>3.148305084745763</v>
      </c>
      <c r="H188" s="218">
        <v>0.6609961867417108</v>
      </c>
      <c r="I188" s="218">
        <v>118</v>
      </c>
      <c r="J188">
        <f>H188^2</f>
        <v>0.4369159588870826</v>
      </c>
      <c r="K188">
        <f>(I188/I189)*27000</f>
        <v>15930</v>
      </c>
    </row>
    <row r="189" spans="1:9" ht="12.75">
      <c r="A189" s="114" t="s">
        <v>104</v>
      </c>
      <c r="B189" s="116" t="s">
        <v>105</v>
      </c>
      <c r="C189" s="123">
        <f>((C185-C186)/(C185-1))^0.5</f>
        <v>0.9963206843913375</v>
      </c>
      <c r="D189" s="16"/>
      <c r="F189" s="218" t="s">
        <v>198</v>
      </c>
      <c r="G189" s="218">
        <v>3.3211111111111125</v>
      </c>
      <c r="H189" s="218">
        <v>0.6630604586196123</v>
      </c>
      <c r="I189" s="218">
        <v>200</v>
      </c>
    </row>
    <row r="190" spans="1:4" ht="12.75">
      <c r="A190" s="114" t="s">
        <v>59</v>
      </c>
      <c r="B190" s="116" t="s">
        <v>60</v>
      </c>
      <c r="C190" s="123">
        <f>1-C191</f>
        <v>0.95</v>
      </c>
      <c r="D190" s="16"/>
    </row>
    <row r="191" spans="1:4" ht="12.75">
      <c r="A191" s="114" t="s">
        <v>61</v>
      </c>
      <c r="B191" s="117" t="s">
        <v>61</v>
      </c>
      <c r="C191" s="124">
        <v>0.05</v>
      </c>
      <c r="D191" s="16"/>
    </row>
    <row r="192" spans="1:4" ht="12.75">
      <c r="A192" s="114" t="s">
        <v>62</v>
      </c>
      <c r="B192" s="116" t="s">
        <v>83</v>
      </c>
      <c r="C192" s="123">
        <f>1-(C191/2)</f>
        <v>0.975</v>
      </c>
      <c r="D192" s="16"/>
    </row>
    <row r="193" spans="1:4" ht="12.75">
      <c r="A193" s="114" t="s">
        <v>111</v>
      </c>
      <c r="B193" s="116" t="s">
        <v>71</v>
      </c>
      <c r="C193" s="123">
        <f>TINV(C191,C194)</f>
        <v>1.9804475321373936</v>
      </c>
      <c r="D193" s="16"/>
    </row>
    <row r="194" spans="1:4" ht="12.75">
      <c r="A194" s="114" t="s">
        <v>112</v>
      </c>
      <c r="B194" s="116" t="s">
        <v>73</v>
      </c>
      <c r="C194" s="123">
        <f>C186-1</f>
        <v>117</v>
      </c>
      <c r="D194" s="16"/>
    </row>
    <row r="195" spans="1:4" ht="12.75">
      <c r="A195" s="114" t="s">
        <v>106</v>
      </c>
      <c r="B195" s="117" t="s">
        <v>13</v>
      </c>
      <c r="C195" s="124">
        <v>3.148</v>
      </c>
      <c r="D195" s="16"/>
    </row>
    <row r="196" spans="1:4" ht="12.75">
      <c r="A196" s="114" t="s">
        <v>107</v>
      </c>
      <c r="B196" s="116" t="s">
        <v>108</v>
      </c>
      <c r="C196" s="123">
        <f>C195-(C193*C188)</f>
        <v>3.0279398518857485</v>
      </c>
      <c r="D196" s="16"/>
    </row>
    <row r="197" spans="1:4" ht="12.75">
      <c r="A197" s="114" t="s">
        <v>109</v>
      </c>
      <c r="B197" s="116" t="s">
        <v>110</v>
      </c>
      <c r="C197" s="123">
        <f>C195+C193*C188</f>
        <v>3.2680601481142517</v>
      </c>
      <c r="D197" s="16"/>
    </row>
    <row r="198" spans="1:4" ht="12.75">
      <c r="A198" s="114" t="s">
        <v>229</v>
      </c>
      <c r="B198" s="116" t="s">
        <v>230</v>
      </c>
      <c r="C198" s="136">
        <f>C197-C196</f>
        <v>0.24012029622850317</v>
      </c>
      <c r="D198" s="16"/>
    </row>
    <row r="199" spans="1:4" ht="12.75">
      <c r="A199" s="114" t="s">
        <v>231</v>
      </c>
      <c r="B199" s="116" t="s">
        <v>232</v>
      </c>
      <c r="C199" s="123">
        <f>C198/C196</f>
        <v>0.07930154097313406</v>
      </c>
      <c r="D199" s="16"/>
    </row>
    <row r="200" spans="1:4" ht="12.75">
      <c r="A200" s="114" t="s">
        <v>233</v>
      </c>
      <c r="B200" s="116" t="s">
        <v>234</v>
      </c>
      <c r="C200" s="123">
        <f>C199*100</f>
        <v>7.930154097313406</v>
      </c>
      <c r="D200" s="16"/>
    </row>
    <row r="201" spans="1:4" ht="12.75">
      <c r="A201" s="114" t="s">
        <v>260</v>
      </c>
      <c r="B201" s="116" t="s">
        <v>236</v>
      </c>
      <c r="C201" s="136">
        <f>C193*C188</f>
        <v>0.12006014811425139</v>
      </c>
      <c r="D201" s="16"/>
    </row>
    <row r="202" spans="1:4" ht="12.75">
      <c r="A202" s="114" t="s">
        <v>261</v>
      </c>
      <c r="B202" s="116" t="s">
        <v>237</v>
      </c>
      <c r="C202" s="137">
        <f>C201/C196</f>
        <v>0.03965077048656697</v>
      </c>
      <c r="D202" s="16"/>
    </row>
    <row r="203" spans="1:4" ht="12.75">
      <c r="A203" s="114" t="s">
        <v>248</v>
      </c>
      <c r="B203" s="116" t="s">
        <v>239</v>
      </c>
      <c r="C203" s="137">
        <f>C202*100</f>
        <v>3.965077048656697</v>
      </c>
      <c r="D203" s="16"/>
    </row>
    <row r="204" spans="1:4" ht="12.75">
      <c r="A204" s="114" t="s">
        <v>240</v>
      </c>
      <c r="B204" s="117" t="s">
        <v>241</v>
      </c>
      <c r="C204" s="124">
        <v>5</v>
      </c>
      <c r="D204" s="16"/>
    </row>
    <row r="205" spans="1:4" ht="12.75">
      <c r="A205" s="114" t="s">
        <v>244</v>
      </c>
      <c r="B205" s="116" t="s">
        <v>246</v>
      </c>
      <c r="C205" s="137">
        <f>C201/C204</f>
        <v>0.02401202962285028</v>
      </c>
      <c r="D205" s="16"/>
    </row>
    <row r="206" spans="1:4" ht="12.75">
      <c r="A206" s="114" t="s">
        <v>245</v>
      </c>
      <c r="B206" s="116" t="s">
        <v>247</v>
      </c>
      <c r="C206" s="137">
        <f>C205*100</f>
        <v>2.4012029622850277</v>
      </c>
      <c r="D206" s="16"/>
    </row>
    <row r="207" spans="1:4" ht="13.5" thickBot="1">
      <c r="A207" s="118" t="s">
        <v>242</v>
      </c>
      <c r="B207" s="138" t="s">
        <v>243</v>
      </c>
      <c r="C207" s="139">
        <f>100-C206</f>
        <v>97.59879703771497</v>
      </c>
      <c r="D207" s="16"/>
    </row>
    <row r="208" spans="1:4" ht="12.75">
      <c r="A208" s="24"/>
      <c r="B208" s="25"/>
      <c r="C208" s="25"/>
      <c r="D208" s="16"/>
    </row>
    <row r="209" spans="1:4" ht="12.75">
      <c r="A209" s="16"/>
      <c r="B209" s="17"/>
      <c r="C209" s="17"/>
      <c r="D209" s="16"/>
    </row>
    <row r="210" spans="1:4" ht="13.5" thickBot="1">
      <c r="A210" s="16"/>
      <c r="B210" s="17"/>
      <c r="C210" s="17"/>
      <c r="D210" s="16"/>
    </row>
    <row r="211" spans="1:4" ht="13.5" thickBot="1">
      <c r="A211" s="35" t="s">
        <v>265</v>
      </c>
      <c r="B211" s="140"/>
      <c r="C211" s="141"/>
      <c r="D211" s="16"/>
    </row>
    <row r="212" spans="1:4" ht="12.75">
      <c r="A212" s="112" t="s">
        <v>278</v>
      </c>
      <c r="B212" s="134" t="s">
        <v>276</v>
      </c>
      <c r="C212" s="135">
        <f>C218*C220*C216</f>
        <v>28.034132023122037</v>
      </c>
      <c r="D212" s="16"/>
    </row>
    <row r="213" spans="1:4" ht="13.5" thickBot="1">
      <c r="A213" s="114" t="s">
        <v>279</v>
      </c>
      <c r="B213" s="116" t="s">
        <v>277</v>
      </c>
      <c r="C213" s="123">
        <f>C219*C221*C217</f>
        <v>51.33076397047043</v>
      </c>
      <c r="D213" s="16"/>
    </row>
    <row r="214" spans="1:4" ht="12.75">
      <c r="A214" s="114" t="s">
        <v>113</v>
      </c>
      <c r="B214" s="134" t="s">
        <v>283</v>
      </c>
      <c r="C214" s="123">
        <f>(C212*((C216-1)/C216)+C213*((C217-1)/C217))/(C216+C217-2)</f>
        <v>0.39690914070933275</v>
      </c>
      <c r="D214" s="16"/>
    </row>
    <row r="215" spans="1:4" ht="12.75">
      <c r="A215" s="114" t="s">
        <v>98</v>
      </c>
      <c r="B215" s="117" t="s">
        <v>2</v>
      </c>
      <c r="C215" s="124">
        <v>27000</v>
      </c>
      <c r="D215" s="16"/>
    </row>
    <row r="216" spans="1:4" ht="14.25">
      <c r="A216" s="114" t="s">
        <v>114</v>
      </c>
      <c r="B216" s="117" t="s">
        <v>266</v>
      </c>
      <c r="C216" s="124">
        <v>82</v>
      </c>
      <c r="D216" s="16"/>
    </row>
    <row r="217" spans="1:4" ht="14.25">
      <c r="A217" s="114" t="s">
        <v>116</v>
      </c>
      <c r="B217" s="117" t="s">
        <v>267</v>
      </c>
      <c r="C217" s="124">
        <v>118</v>
      </c>
      <c r="D217" s="16">
        <f>C218*C218</f>
        <v>0.11759489657887078</v>
      </c>
    </row>
    <row r="218" spans="1:4" ht="15.75">
      <c r="A218" s="114" t="s">
        <v>118</v>
      </c>
      <c r="B218" s="117" t="s">
        <v>268</v>
      </c>
      <c r="C218" s="124">
        <v>0.34292112296980304</v>
      </c>
      <c r="D218" s="16">
        <f>C219*C219</f>
        <v>0.19089555513021889</v>
      </c>
    </row>
    <row r="219" spans="1:4" ht="15.75">
      <c r="A219" s="114" t="s">
        <v>119</v>
      </c>
      <c r="B219" s="117" t="s">
        <v>269</v>
      </c>
      <c r="C219" s="124">
        <v>0.4369159588870826</v>
      </c>
      <c r="D219" s="16"/>
    </row>
    <row r="220" spans="1:4" ht="12.75">
      <c r="A220" s="114" t="s">
        <v>273</v>
      </c>
      <c r="B220" s="115" t="s">
        <v>275</v>
      </c>
      <c r="C220" s="125">
        <f>(C215-C216)/C215</f>
        <v>0.9969629629629629</v>
      </c>
      <c r="D220" s="16"/>
    </row>
    <row r="221" spans="1:4" ht="12.75">
      <c r="A221" s="114" t="s">
        <v>274</v>
      </c>
      <c r="B221" s="115" t="s">
        <v>275</v>
      </c>
      <c r="C221" s="125">
        <f>(C215-C217)/C215</f>
        <v>0.9956296296296296</v>
      </c>
      <c r="D221" s="16"/>
    </row>
    <row r="222" spans="1:4" ht="12.75">
      <c r="A222" s="114" t="s">
        <v>120</v>
      </c>
      <c r="B222" s="116" t="s">
        <v>281</v>
      </c>
      <c r="C222" s="123">
        <f>C214^0.5*((1/C216)+(1/C217))^0.5</f>
        <v>0.09057589171615353</v>
      </c>
      <c r="D222" s="16"/>
    </row>
    <row r="223" spans="1:4" ht="14.25">
      <c r="A223" s="114" t="s">
        <v>121</v>
      </c>
      <c r="B223" s="116" t="s">
        <v>270</v>
      </c>
      <c r="C223" s="123">
        <f>((C215-C216)/(C215-1))^0.5</f>
        <v>0.9984988176681902</v>
      </c>
      <c r="D223" s="16"/>
    </row>
    <row r="224" spans="1:4" ht="12.75">
      <c r="A224" s="114" t="s">
        <v>122</v>
      </c>
      <c r="B224" s="116" t="s">
        <v>123</v>
      </c>
      <c r="C224" s="123">
        <f>((C215-C217)/(C215-1))^0.5</f>
        <v>0.9978309005873165</v>
      </c>
      <c r="D224" s="16"/>
    </row>
    <row r="225" spans="1:4" ht="12.75">
      <c r="A225" s="114" t="s">
        <v>59</v>
      </c>
      <c r="B225" s="116" t="s">
        <v>60</v>
      </c>
      <c r="C225" s="123">
        <f>1-C226</f>
        <v>0.95</v>
      </c>
      <c r="D225" s="16"/>
    </row>
    <row r="226" spans="1:4" ht="12.75">
      <c r="A226" s="114" t="s">
        <v>61</v>
      </c>
      <c r="B226" s="117" t="s">
        <v>61</v>
      </c>
      <c r="C226" s="124">
        <v>0.05</v>
      </c>
      <c r="D226" s="16"/>
    </row>
    <row r="227" spans="1:4" ht="12.75">
      <c r="A227" s="114" t="s">
        <v>62</v>
      </c>
      <c r="B227" s="116" t="s">
        <v>83</v>
      </c>
      <c r="C227" s="123">
        <f>1-(C226/2)</f>
        <v>0.975</v>
      </c>
      <c r="D227" s="16"/>
    </row>
    <row r="228" spans="1:4" ht="12.75">
      <c r="A228" s="114" t="s">
        <v>111</v>
      </c>
      <c r="B228" s="116" t="s">
        <v>71</v>
      </c>
      <c r="C228" s="123">
        <f>TINV(C226,C229)</f>
        <v>1.972017432255901</v>
      </c>
      <c r="D228" s="16"/>
    </row>
    <row r="229" spans="1:4" ht="12.75">
      <c r="A229" s="114" t="s">
        <v>112</v>
      </c>
      <c r="B229" s="116" t="s">
        <v>73</v>
      </c>
      <c r="C229" s="123">
        <f>C216+C217-2</f>
        <v>198</v>
      </c>
      <c r="D229" s="16"/>
    </row>
    <row r="230" spans="1:4" ht="14.25">
      <c r="A230" s="114" t="s">
        <v>82</v>
      </c>
      <c r="B230" s="117" t="s">
        <v>271</v>
      </c>
      <c r="C230" s="124">
        <v>3.569783197831978</v>
      </c>
      <c r="D230" s="16"/>
    </row>
    <row r="231" spans="1:4" ht="14.25">
      <c r="A231" s="114" t="s">
        <v>124</v>
      </c>
      <c r="B231" s="117" t="s">
        <v>272</v>
      </c>
      <c r="C231" s="124">
        <v>3.148305084745763</v>
      </c>
      <c r="D231" s="16"/>
    </row>
    <row r="232" spans="1:4" ht="12.75">
      <c r="A232" s="114" t="s">
        <v>125</v>
      </c>
      <c r="B232" s="116" t="s">
        <v>108</v>
      </c>
      <c r="C232" s="123">
        <f>(C230-C231)-(C228*C222)</f>
        <v>0.24286087567983747</v>
      </c>
      <c r="D232" s="16"/>
    </row>
    <row r="233" spans="1:4" ht="13.5" thickBot="1">
      <c r="A233" s="118" t="s">
        <v>126</v>
      </c>
      <c r="B233" s="138" t="s">
        <v>110</v>
      </c>
      <c r="C233" s="142">
        <f>(C230-C231)+(C228*C222)</f>
        <v>0.6000953504925927</v>
      </c>
      <c r="D233" s="16"/>
    </row>
    <row r="234" spans="1:4" ht="13.5" thickBot="1">
      <c r="A234" s="24"/>
      <c r="B234" s="25"/>
      <c r="C234" s="25"/>
      <c r="D234" s="16"/>
    </row>
    <row r="235" spans="1:4" ht="13.5" thickBot="1">
      <c r="A235" s="35" t="s">
        <v>264</v>
      </c>
      <c r="B235" s="140"/>
      <c r="C235" s="141"/>
      <c r="D235" s="16"/>
    </row>
    <row r="236" spans="1:4" ht="12.75">
      <c r="A236" s="114" t="s">
        <v>278</v>
      </c>
      <c r="B236" s="116" t="s">
        <v>276</v>
      </c>
      <c r="C236" s="123">
        <f>C242*(C240)</f>
        <v>16.016</v>
      </c>
      <c r="D236" s="16"/>
    </row>
    <row r="237" spans="1:4" ht="13.5" thickBot="1">
      <c r="A237" s="114" t="s">
        <v>279</v>
      </c>
      <c r="B237" s="116" t="s">
        <v>277</v>
      </c>
      <c r="C237" s="123">
        <f>C243*(C241)</f>
        <v>47.971000000000004</v>
      </c>
      <c r="D237" s="16"/>
    </row>
    <row r="238" spans="1:4" ht="12.75">
      <c r="A238" s="112" t="s">
        <v>113</v>
      </c>
      <c r="B238" s="134" t="s">
        <v>284</v>
      </c>
      <c r="C238" s="135">
        <f>(C236*((C240-1)/C240)+C237*((C241-1)/C241))/(C240+C241-2)</f>
        <v>0.33138219895287957</v>
      </c>
      <c r="D238" s="16"/>
    </row>
    <row r="239" spans="1:4" ht="12.75">
      <c r="A239" s="114" t="s">
        <v>98</v>
      </c>
      <c r="B239" s="117" t="s">
        <v>2</v>
      </c>
      <c r="C239" s="124">
        <v>436</v>
      </c>
      <c r="D239" s="16"/>
    </row>
    <row r="240" spans="1:4" ht="14.25">
      <c r="A240" s="114" t="s">
        <v>114</v>
      </c>
      <c r="B240" s="117" t="s">
        <v>266</v>
      </c>
      <c r="C240" s="124">
        <v>104</v>
      </c>
      <c r="D240" s="16"/>
    </row>
    <row r="241" spans="1:4" ht="14.25">
      <c r="A241" s="114" t="s">
        <v>116</v>
      </c>
      <c r="B241" s="117" t="s">
        <v>267</v>
      </c>
      <c r="C241" s="124">
        <v>89</v>
      </c>
      <c r="D241" s="16"/>
    </row>
    <row r="242" spans="1:4" ht="15.75">
      <c r="A242" s="114" t="s">
        <v>118</v>
      </c>
      <c r="B242" s="117" t="s">
        <v>268</v>
      </c>
      <c r="C242" s="124">
        <v>0.154</v>
      </c>
      <c r="D242" s="16"/>
    </row>
    <row r="243" spans="1:4" ht="15.75">
      <c r="A243" s="114" t="s">
        <v>119</v>
      </c>
      <c r="B243" s="117" t="s">
        <v>269</v>
      </c>
      <c r="C243" s="124">
        <v>0.539</v>
      </c>
      <c r="D243" s="16"/>
    </row>
    <row r="244" spans="1:4" ht="12.75">
      <c r="A244" s="114" t="s">
        <v>120</v>
      </c>
      <c r="B244" s="116" t="s">
        <v>282</v>
      </c>
      <c r="C244" s="123">
        <f>C238^0.5*((1/C240)+(1/C241))^0.5</f>
        <v>0.0831249829562474</v>
      </c>
      <c r="D244" s="16"/>
    </row>
    <row r="245" spans="1:4" ht="14.25">
      <c r="A245" s="114" t="s">
        <v>121</v>
      </c>
      <c r="B245" s="116" t="s">
        <v>270</v>
      </c>
      <c r="C245" s="123">
        <f>((C239-C240)/(C239-1))^0.5</f>
        <v>0.8736237123639661</v>
      </c>
      <c r="D245" s="16"/>
    </row>
    <row r="246" spans="1:4" ht="12.75">
      <c r="A246" s="114" t="s">
        <v>122</v>
      </c>
      <c r="B246" s="116" t="s">
        <v>123</v>
      </c>
      <c r="C246" s="123">
        <f>((C239-C241)/(C239-1))^0.5</f>
        <v>0.8931411699307603</v>
      </c>
      <c r="D246" s="16"/>
    </row>
    <row r="247" spans="1:4" ht="12.75">
      <c r="A247" s="114" t="s">
        <v>59</v>
      </c>
      <c r="B247" s="116" t="s">
        <v>60</v>
      </c>
      <c r="C247" s="123">
        <f>1-C248</f>
        <v>0.95</v>
      </c>
      <c r="D247" s="16"/>
    </row>
    <row r="248" spans="1:4" ht="12.75">
      <c r="A248" s="114" t="s">
        <v>61</v>
      </c>
      <c r="B248" s="117" t="s">
        <v>61</v>
      </c>
      <c r="C248" s="124">
        <v>0.05</v>
      </c>
      <c r="D248" s="16"/>
    </row>
    <row r="249" spans="1:4" ht="12.75">
      <c r="A249" s="114" t="s">
        <v>62</v>
      </c>
      <c r="B249" s="116" t="s">
        <v>83</v>
      </c>
      <c r="C249" s="123">
        <f>1-(C248/2)</f>
        <v>0.975</v>
      </c>
      <c r="D249" s="16"/>
    </row>
    <row r="250" spans="1:4" ht="12.75">
      <c r="A250" s="114" t="s">
        <v>111</v>
      </c>
      <c r="B250" s="116" t="s">
        <v>71</v>
      </c>
      <c r="C250" s="123">
        <f>TINV(C248,C251)</f>
        <v>1.9724619458172743</v>
      </c>
      <c r="D250" s="16"/>
    </row>
    <row r="251" spans="1:4" ht="12.75">
      <c r="A251" s="114" t="s">
        <v>112</v>
      </c>
      <c r="B251" s="116" t="s">
        <v>73</v>
      </c>
      <c r="C251" s="123">
        <f>C240+C241-2</f>
        <v>191</v>
      </c>
      <c r="D251" s="16"/>
    </row>
    <row r="252" spans="1:4" ht="14.25">
      <c r="A252" s="114" t="s">
        <v>82</v>
      </c>
      <c r="B252" s="117" t="s">
        <v>271</v>
      </c>
      <c r="C252" s="124">
        <v>4.718</v>
      </c>
      <c r="D252" s="16"/>
    </row>
    <row r="253" spans="1:4" ht="14.25">
      <c r="A253" s="114" t="s">
        <v>124</v>
      </c>
      <c r="B253" s="117" t="s">
        <v>272</v>
      </c>
      <c r="C253" s="124">
        <v>4.5</v>
      </c>
      <c r="D253" s="16"/>
    </row>
    <row r="254" spans="1:4" ht="12.75">
      <c r="A254" s="114" t="s">
        <v>125</v>
      </c>
      <c r="B254" s="116" t="s">
        <v>108</v>
      </c>
      <c r="C254" s="123">
        <f>(C252-C253)-((C250*C244))</f>
        <v>0.05403913437209246</v>
      </c>
      <c r="D254" s="16"/>
    </row>
    <row r="255" spans="1:4" ht="13.5" thickBot="1">
      <c r="A255" s="118" t="s">
        <v>126</v>
      </c>
      <c r="B255" s="138" t="s">
        <v>110</v>
      </c>
      <c r="C255" s="142">
        <f>(C252-C253)+((C250*C244))</f>
        <v>0.3819608656279075</v>
      </c>
      <c r="D255" s="16"/>
    </row>
    <row r="256" spans="1:4" ht="13.5" thickBot="1">
      <c r="A256" s="172"/>
      <c r="B256" s="116"/>
      <c r="C256" s="116"/>
      <c r="D256" s="16"/>
    </row>
    <row r="257" spans="1:4" ht="13.5" thickBot="1">
      <c r="A257" s="35" t="s">
        <v>397</v>
      </c>
      <c r="B257" s="140"/>
      <c r="C257" s="141"/>
      <c r="D257" s="16"/>
    </row>
    <row r="258" spans="1:4" ht="12.75">
      <c r="A258" s="114" t="s">
        <v>278</v>
      </c>
      <c r="B258" s="116" t="s">
        <v>276</v>
      </c>
      <c r="C258" s="123">
        <f>C263*C261</f>
        <v>16.016</v>
      </c>
      <c r="D258" s="16"/>
    </row>
    <row r="259" spans="1:4" ht="12.75">
      <c r="A259" s="114" t="s">
        <v>279</v>
      </c>
      <c r="B259" s="116" t="s">
        <v>277</v>
      </c>
      <c r="C259" s="123">
        <f>C264*C262</f>
        <v>47.971000000000004</v>
      </c>
      <c r="D259" s="16"/>
    </row>
    <row r="260" spans="1:4" ht="12.75">
      <c r="A260" s="114" t="s">
        <v>98</v>
      </c>
      <c r="B260" s="117" t="s">
        <v>2</v>
      </c>
      <c r="C260" s="124">
        <v>436</v>
      </c>
      <c r="D260" s="16"/>
    </row>
    <row r="261" spans="1:4" ht="14.25">
      <c r="A261" s="114" t="s">
        <v>114</v>
      </c>
      <c r="B261" s="117" t="s">
        <v>266</v>
      </c>
      <c r="C261" s="124">
        <v>104</v>
      </c>
      <c r="D261" s="16"/>
    </row>
    <row r="262" spans="1:4" ht="14.25">
      <c r="A262" s="114" t="s">
        <v>116</v>
      </c>
      <c r="B262" s="117" t="s">
        <v>267</v>
      </c>
      <c r="C262" s="124">
        <v>89</v>
      </c>
      <c r="D262" s="16"/>
    </row>
    <row r="263" spans="1:4" ht="15.75">
      <c r="A263" s="114" t="s">
        <v>118</v>
      </c>
      <c r="B263" s="117" t="s">
        <v>268</v>
      </c>
      <c r="C263" s="124">
        <v>0.154</v>
      </c>
      <c r="D263" s="16"/>
    </row>
    <row r="264" spans="1:4" ht="15.75">
      <c r="A264" s="114" t="s">
        <v>119</v>
      </c>
      <c r="B264" s="117" t="s">
        <v>269</v>
      </c>
      <c r="C264" s="124">
        <v>0.539</v>
      </c>
      <c r="D264" s="16"/>
    </row>
    <row r="265" spans="1:4" ht="12.75">
      <c r="A265" s="114" t="s">
        <v>120</v>
      </c>
      <c r="B265" s="116" t="s">
        <v>282</v>
      </c>
      <c r="C265" s="123">
        <f>((C263/C261)+(C264/C262))^0.5</f>
        <v>0.08681560347109343</v>
      </c>
      <c r="D265" s="16"/>
    </row>
    <row r="266" spans="1:4" ht="14.25">
      <c r="A266" s="114" t="s">
        <v>121</v>
      </c>
      <c r="B266" s="116" t="s">
        <v>270</v>
      </c>
      <c r="C266" s="123">
        <f>((C260-C261)/(C260-1))^0.5</f>
        <v>0.8736237123639661</v>
      </c>
      <c r="D266" s="16"/>
    </row>
    <row r="267" spans="1:4" ht="12.75">
      <c r="A267" s="114" t="s">
        <v>122</v>
      </c>
      <c r="B267" s="116" t="s">
        <v>123</v>
      </c>
      <c r="C267" s="123">
        <f>((C260-C262)/(C260-1))^0.5</f>
        <v>0.8931411699307603</v>
      </c>
      <c r="D267" s="16"/>
    </row>
    <row r="268" spans="1:4" ht="12.75">
      <c r="A268" s="114" t="s">
        <v>59</v>
      </c>
      <c r="B268" s="116" t="s">
        <v>60</v>
      </c>
      <c r="C268" s="123">
        <f>1-C269</f>
        <v>0.95</v>
      </c>
      <c r="D268" s="16"/>
    </row>
    <row r="269" spans="1:4" ht="12.75">
      <c r="A269" s="114" t="s">
        <v>61</v>
      </c>
      <c r="B269" s="117" t="s">
        <v>61</v>
      </c>
      <c r="C269" s="124">
        <v>0.05</v>
      </c>
      <c r="D269" s="16"/>
    </row>
    <row r="270" spans="1:4" ht="12.75">
      <c r="A270" s="114" t="s">
        <v>62</v>
      </c>
      <c r="B270" s="116" t="s">
        <v>83</v>
      </c>
      <c r="C270" s="123">
        <f>1-(C269/2)</f>
        <v>0.975</v>
      </c>
      <c r="D270" s="16"/>
    </row>
    <row r="271" spans="1:4" ht="12.75">
      <c r="A271" s="114" t="s">
        <v>111</v>
      </c>
      <c r="B271" s="116" t="s">
        <v>71</v>
      </c>
      <c r="C271" s="123">
        <f>TINV(C269,C274)</f>
        <v>1.9785244645517066</v>
      </c>
      <c r="D271" s="16"/>
    </row>
    <row r="272" spans="1:4" ht="12.75">
      <c r="A272" s="114" t="s">
        <v>398</v>
      </c>
      <c r="B272" s="116" t="s">
        <v>399</v>
      </c>
      <c r="C272" s="123">
        <f>(C265^2)^2</f>
        <v>5.6805600319800044E-05</v>
      </c>
      <c r="D272" s="16"/>
    </row>
    <row r="273" spans="1:4" ht="12.75">
      <c r="A273" s="114" t="s">
        <v>400</v>
      </c>
      <c r="B273" s="116" t="s">
        <v>401</v>
      </c>
      <c r="C273" s="123">
        <f>(((C263/C261)^2/(C261-1))+((C264/C262)^2/(C262-1)))</f>
        <v>4.3807578428568846E-07</v>
      </c>
      <c r="D273" s="16"/>
    </row>
    <row r="274" spans="1:4" ht="12.75">
      <c r="A274" s="114" t="s">
        <v>112</v>
      </c>
      <c r="B274" s="116" t="s">
        <v>73</v>
      </c>
      <c r="C274" s="123">
        <f>C272/C273</f>
        <v>129.67071533621822</v>
      </c>
      <c r="D274" s="16"/>
    </row>
    <row r="275" spans="1:4" ht="14.25">
      <c r="A275" s="114" t="s">
        <v>82</v>
      </c>
      <c r="B275" s="117" t="s">
        <v>271</v>
      </c>
      <c r="C275" s="124">
        <v>4.718</v>
      </c>
      <c r="D275" s="16"/>
    </row>
    <row r="276" spans="1:4" ht="14.25">
      <c r="A276" s="114" t="s">
        <v>124</v>
      </c>
      <c r="B276" s="117" t="s">
        <v>272</v>
      </c>
      <c r="C276" s="124">
        <v>4.5</v>
      </c>
      <c r="D276" s="16"/>
    </row>
    <row r="277" spans="1:4" ht="12.75">
      <c r="A277" s="114" t="s">
        <v>125</v>
      </c>
      <c r="B277" s="116" t="s">
        <v>108</v>
      </c>
      <c r="C277" s="123">
        <f>(C275-C276)-((C271*C265))</f>
        <v>0.046233204627621566</v>
      </c>
      <c r="D277" s="16"/>
    </row>
    <row r="278" spans="1:4" ht="13.5" thickBot="1">
      <c r="A278" s="118" t="s">
        <v>126</v>
      </c>
      <c r="B278" s="138" t="s">
        <v>110</v>
      </c>
      <c r="C278" s="142">
        <f>(C275-C276)+((C271*C265))</f>
        <v>0.38976679537237835</v>
      </c>
      <c r="D278" s="16"/>
    </row>
    <row r="279" spans="1:4" ht="12.75">
      <c r="A279" s="16"/>
      <c r="B279" s="17"/>
      <c r="C279" s="17"/>
      <c r="D279" s="16"/>
    </row>
    <row r="280" spans="1:4" ht="12.75">
      <c r="A280" s="16" t="s">
        <v>127</v>
      </c>
      <c r="B280" s="17" t="s">
        <v>71</v>
      </c>
      <c r="C280" s="17" t="e">
        <f>(C284)/(C285)^0.5</f>
        <v>#DIV/0!</v>
      </c>
      <c r="D280" s="16"/>
    </row>
    <row r="281" spans="1:4" ht="12.75">
      <c r="A281" s="16" t="s">
        <v>128</v>
      </c>
      <c r="B281" s="26" t="s">
        <v>30</v>
      </c>
      <c r="C281" s="26"/>
      <c r="D281" s="16"/>
    </row>
    <row r="282" spans="1:4" ht="12.75">
      <c r="A282" s="16" t="s">
        <v>129</v>
      </c>
      <c r="B282" s="26" t="s">
        <v>32</v>
      </c>
      <c r="C282" s="26"/>
      <c r="D282" s="16"/>
    </row>
    <row r="283" spans="1:4" ht="12.75">
      <c r="A283" s="16" t="s">
        <v>130</v>
      </c>
      <c r="B283" s="26" t="s">
        <v>131</v>
      </c>
      <c r="C283" s="26"/>
      <c r="D283" s="16"/>
    </row>
    <row r="284" spans="1:4" ht="14.25">
      <c r="A284" s="16" t="s">
        <v>132</v>
      </c>
      <c r="B284" s="42" t="s">
        <v>133</v>
      </c>
      <c r="C284" s="17">
        <f>SUM(B281:B283)</f>
        <v>0</v>
      </c>
      <c r="D284" s="16"/>
    </row>
    <row r="285" spans="1:4" ht="15.75">
      <c r="A285" s="16" t="s">
        <v>134</v>
      </c>
      <c r="B285" s="26" t="s">
        <v>135</v>
      </c>
      <c r="C285" s="26"/>
      <c r="D285" s="16"/>
    </row>
    <row r="286" spans="1:4" ht="14.25">
      <c r="A286" s="16" t="s">
        <v>136</v>
      </c>
      <c r="B286" s="26" t="s">
        <v>115</v>
      </c>
      <c r="C286" s="26"/>
      <c r="D286" s="16"/>
    </row>
    <row r="287" spans="1:4" ht="14.25">
      <c r="A287" s="16" t="s">
        <v>137</v>
      </c>
      <c r="B287" s="26" t="s">
        <v>117</v>
      </c>
      <c r="C287" s="26"/>
      <c r="D287" s="16"/>
    </row>
    <row r="288" spans="1:4" ht="14.25">
      <c r="A288" s="16" t="s">
        <v>138</v>
      </c>
      <c r="B288" s="26" t="s">
        <v>139</v>
      </c>
      <c r="C288" s="26"/>
      <c r="D288" s="16"/>
    </row>
    <row r="289" spans="1:4" ht="14.25">
      <c r="A289" s="16" t="s">
        <v>140</v>
      </c>
      <c r="B289" s="42" t="s">
        <v>141</v>
      </c>
      <c r="C289" s="17">
        <f>SUM(B286:B288)</f>
        <v>0</v>
      </c>
      <c r="D289" s="16"/>
    </row>
    <row r="290" spans="1:4" ht="12.75">
      <c r="A290" s="16" t="s">
        <v>142</v>
      </c>
      <c r="B290" s="17" t="s">
        <v>73</v>
      </c>
      <c r="C290" s="17"/>
      <c r="D290" s="16" t="s">
        <v>143</v>
      </c>
    </row>
    <row r="291" spans="1:4" ht="12.75">
      <c r="A291" s="16"/>
      <c r="B291" s="17"/>
      <c r="C291" s="17"/>
      <c r="D291" s="16"/>
    </row>
    <row r="292" spans="1:4" ht="15.75">
      <c r="A292" s="16" t="s">
        <v>144</v>
      </c>
      <c r="B292" s="17" t="s">
        <v>145</v>
      </c>
      <c r="C292" s="17" t="e">
        <f>((C293)/(C294+C295))^0.5</f>
        <v>#DIV/0!</v>
      </c>
      <c r="D292" s="16" t="s">
        <v>146</v>
      </c>
    </row>
    <row r="293" spans="1:4" ht="12.75">
      <c r="A293" s="16" t="s">
        <v>147</v>
      </c>
      <c r="B293" s="26" t="s">
        <v>148</v>
      </c>
      <c r="C293" s="26"/>
      <c r="D293" s="16"/>
    </row>
    <row r="294" spans="1:4" ht="12.75">
      <c r="A294" s="16" t="s">
        <v>149</v>
      </c>
      <c r="B294" s="26" t="s">
        <v>150</v>
      </c>
      <c r="C294" s="26"/>
      <c r="D294" s="16"/>
    </row>
    <row r="295" spans="1:4" ht="12.75">
      <c r="A295" s="16" t="s">
        <v>151</v>
      </c>
      <c r="B295" s="26" t="s">
        <v>152</v>
      </c>
      <c r="C295" s="26"/>
      <c r="D295" s="16"/>
    </row>
    <row r="296" spans="1:4" ht="15.75">
      <c r="A296" s="16" t="s">
        <v>153</v>
      </c>
      <c r="B296" s="17" t="s">
        <v>154</v>
      </c>
      <c r="C296" s="17" t="e">
        <f>(C293/C295)^0.5</f>
        <v>#DIV/0!</v>
      </c>
      <c r="D296" s="16"/>
    </row>
    <row r="297" spans="1:4" ht="15.75">
      <c r="A297" s="16" t="s">
        <v>155</v>
      </c>
      <c r="B297" s="17" t="s">
        <v>156</v>
      </c>
      <c r="C297" s="17"/>
      <c r="D297" s="16" t="s">
        <v>157</v>
      </c>
    </row>
    <row r="298" spans="1:4" ht="15.75">
      <c r="A298" s="43" t="s">
        <v>158</v>
      </c>
      <c r="B298" s="44" t="s">
        <v>159</v>
      </c>
      <c r="C298" s="44" t="e">
        <f>((C299^0.5)/(C299^0.5+C300))^0.5</f>
        <v>#DIV/0!</v>
      </c>
      <c r="D298" s="16"/>
    </row>
    <row r="299" spans="1:4" ht="12.75">
      <c r="A299" s="43" t="s">
        <v>111</v>
      </c>
      <c r="B299" s="45" t="s">
        <v>71</v>
      </c>
      <c r="C299" s="45"/>
      <c r="D299" s="16"/>
    </row>
    <row r="300" spans="1:4" ht="12.75">
      <c r="A300" s="43" t="s">
        <v>112</v>
      </c>
      <c r="B300" s="45" t="s">
        <v>73</v>
      </c>
      <c r="C300" s="45"/>
      <c r="D300" s="16"/>
    </row>
    <row r="301" spans="1:4" ht="12.75">
      <c r="A301" s="46" t="s">
        <v>160</v>
      </c>
      <c r="B301" s="47" t="s">
        <v>75</v>
      </c>
      <c r="C301" s="47" t="e">
        <f>C302/((C303/C304)^0.5)</f>
        <v>#DIV/0!</v>
      </c>
      <c r="D301" s="16" t="s">
        <v>161</v>
      </c>
    </row>
    <row r="302" spans="1:4" ht="12.75">
      <c r="A302" s="46" t="s">
        <v>26</v>
      </c>
      <c r="B302" s="47" t="s">
        <v>162</v>
      </c>
      <c r="C302" s="47" t="e">
        <f>(C305-C306)/C307</f>
        <v>#DIV/0!</v>
      </c>
      <c r="D302" s="16"/>
    </row>
    <row r="303" spans="1:4" ht="12.75">
      <c r="A303" s="46" t="s">
        <v>163</v>
      </c>
      <c r="B303" s="48" t="s">
        <v>100</v>
      </c>
      <c r="C303" s="48"/>
      <c r="D303" s="16"/>
    </row>
    <row r="304" spans="1:4" ht="12.75">
      <c r="A304" s="46" t="s">
        <v>164</v>
      </c>
      <c r="B304" s="48" t="s">
        <v>73</v>
      </c>
      <c r="C304" s="48"/>
      <c r="D304" s="16"/>
    </row>
    <row r="305" spans="1:4" ht="12.75">
      <c r="A305" s="46" t="s">
        <v>128</v>
      </c>
      <c r="B305" s="48" t="s">
        <v>30</v>
      </c>
      <c r="C305" s="48"/>
      <c r="D305" s="16"/>
    </row>
    <row r="306" spans="1:4" ht="12.75">
      <c r="A306" s="46" t="s">
        <v>129</v>
      </c>
      <c r="B306" s="48" t="s">
        <v>32</v>
      </c>
      <c r="C306" s="48"/>
      <c r="D306" s="16"/>
    </row>
    <row r="307" spans="1:4" ht="14.25">
      <c r="A307" s="46" t="s">
        <v>165</v>
      </c>
      <c r="B307" s="47" t="s">
        <v>166</v>
      </c>
      <c r="C307" s="47" t="e">
        <f>C308*((C304/C303)^0.5)</f>
        <v>#DIV/0!</v>
      </c>
      <c r="D307" s="16"/>
    </row>
    <row r="308" spans="1:4" ht="14.25">
      <c r="A308" s="46" t="s">
        <v>167</v>
      </c>
      <c r="B308" s="48" t="s">
        <v>168</v>
      </c>
      <c r="C308" s="48"/>
      <c r="D308" s="16"/>
    </row>
    <row r="309" spans="1:4" ht="14.25">
      <c r="A309" s="16" t="s">
        <v>169</v>
      </c>
      <c r="B309" s="17" t="s">
        <v>170</v>
      </c>
      <c r="C309" s="17" t="e">
        <f>((4*C296^2)/(1+3*C296^2))^0.5</f>
        <v>#DIV/0!</v>
      </c>
      <c r="D309" s="16"/>
    </row>
    <row r="310" spans="1:4" ht="12.75">
      <c r="A310" s="16"/>
      <c r="B310" s="17"/>
      <c r="C310" s="17"/>
      <c r="D310" s="16"/>
    </row>
    <row r="311" spans="1:4" ht="12.75">
      <c r="A311" s="16"/>
      <c r="B311" s="17"/>
      <c r="C311" s="17"/>
      <c r="D311" s="16"/>
    </row>
    <row r="312" spans="1:4" ht="12.75">
      <c r="A312" s="16"/>
      <c r="B312" s="17"/>
      <c r="C312" s="17"/>
      <c r="D312" s="16"/>
    </row>
    <row r="313" spans="1:4" ht="12.75">
      <c r="A313" s="27"/>
      <c r="B313" s="28"/>
      <c r="C313" s="29"/>
      <c r="D313" s="16"/>
    </row>
    <row r="314" spans="1:4" ht="12.75">
      <c r="A314" s="30"/>
      <c r="B314" s="25"/>
      <c r="C314" s="31"/>
      <c r="D314" s="16"/>
    </row>
    <row r="315" spans="1:4" ht="12.75">
      <c r="A315" s="30"/>
      <c r="B315" s="25"/>
      <c r="C315" s="31"/>
      <c r="D315" s="16"/>
    </row>
    <row r="316" spans="1:4" ht="12.75">
      <c r="A316" s="30"/>
      <c r="B316" s="25"/>
      <c r="C316" s="31"/>
      <c r="D316" s="16"/>
    </row>
    <row r="317" spans="1:4" ht="12.75">
      <c r="A317" s="30"/>
      <c r="B317" s="25"/>
      <c r="C317" s="31"/>
      <c r="D317" s="16"/>
    </row>
    <row r="318" spans="1:4" ht="12.75">
      <c r="A318" s="30"/>
      <c r="B318" s="25"/>
      <c r="C318" s="31"/>
      <c r="D318" s="16"/>
    </row>
    <row r="319" spans="1:4" ht="12.75">
      <c r="A319" s="30"/>
      <c r="B319" s="25"/>
      <c r="C319" s="31"/>
      <c r="D319" s="16"/>
    </row>
    <row r="320" spans="1:4" ht="12.75">
      <c r="A320" s="30"/>
      <c r="B320" s="25"/>
      <c r="C320" s="31"/>
      <c r="D320" s="16"/>
    </row>
    <row r="321" spans="1:4" ht="12.75">
      <c r="A321" s="32"/>
      <c r="B321" s="33"/>
      <c r="C321" s="34"/>
      <c r="D321" s="16"/>
    </row>
    <row r="322" spans="1:4" ht="12.75">
      <c r="A322" s="16"/>
      <c r="B322" s="17"/>
      <c r="C322" s="17"/>
      <c r="D322" s="16"/>
    </row>
    <row r="323" spans="1:4" ht="12.75">
      <c r="A323" s="16"/>
      <c r="B323" s="17"/>
      <c r="C323" s="17"/>
      <c r="D323" s="16"/>
    </row>
    <row r="324" spans="1:4" ht="12.75">
      <c r="A324" s="16"/>
      <c r="B324" s="17"/>
      <c r="C324" s="17"/>
      <c r="D324" s="16"/>
    </row>
    <row r="325" spans="1:4" ht="12.75">
      <c r="A325" s="16"/>
      <c r="B325" s="17"/>
      <c r="C325" s="17"/>
      <c r="D325" s="16"/>
    </row>
    <row r="326" spans="1:4" ht="12.75">
      <c r="A326" s="16"/>
      <c r="B326" s="17"/>
      <c r="C326" s="17"/>
      <c r="D326" s="16"/>
    </row>
    <row r="327" spans="1:4" ht="12.75">
      <c r="A327" s="16"/>
      <c r="B327" s="17"/>
      <c r="C327" s="17"/>
      <c r="D327" s="16"/>
    </row>
    <row r="328" spans="1:4" ht="12.75">
      <c r="A328" s="16"/>
      <c r="B328" s="17"/>
      <c r="C328" s="17"/>
      <c r="D328" s="16"/>
    </row>
    <row r="329" spans="1:4" ht="12.75">
      <c r="A329" s="16"/>
      <c r="B329" s="17"/>
      <c r="C329" s="17"/>
      <c r="D329" s="16"/>
    </row>
    <row r="330" spans="1:4" ht="12.75">
      <c r="A330" s="16"/>
      <c r="B330" s="17"/>
      <c r="C330" s="17"/>
      <c r="D330" s="16"/>
    </row>
    <row r="331" spans="1:4" ht="12.75">
      <c r="A331" s="16"/>
      <c r="B331" s="17"/>
      <c r="C331" s="17"/>
      <c r="D331" s="16"/>
    </row>
    <row r="332" spans="1:4" ht="13.5" thickBot="1">
      <c r="A332" s="16"/>
      <c r="B332" s="17"/>
      <c r="C332" s="17"/>
      <c r="D332" s="16"/>
    </row>
    <row r="333" spans="1:4" ht="13.5" thickBot="1">
      <c r="A333" s="154" t="s">
        <v>303</v>
      </c>
      <c r="B333" s="17"/>
      <c r="C333" s="17"/>
      <c r="D333" s="16"/>
    </row>
    <row r="334" spans="1:4" ht="15.75">
      <c r="A334" s="36" t="s">
        <v>294</v>
      </c>
      <c r="B334" s="37" t="s">
        <v>295</v>
      </c>
      <c r="C334" s="143">
        <f>((1-C335)*((1/C338)+(1/C339))*C336)/C335</f>
        <v>0.2814261112416922</v>
      </c>
      <c r="D334" s="16"/>
    </row>
    <row r="335" spans="1:4" ht="12.75">
      <c r="A335" s="38" t="s">
        <v>289</v>
      </c>
      <c r="B335" s="144" t="s">
        <v>296</v>
      </c>
      <c r="C335" s="145">
        <v>0.934</v>
      </c>
      <c r="D335" s="16"/>
    </row>
    <row r="336" spans="1:4" ht="12.75">
      <c r="A336" s="38" t="s">
        <v>297</v>
      </c>
      <c r="B336" s="20" t="s">
        <v>73</v>
      </c>
      <c r="C336" s="146">
        <f>C338+C339-2</f>
        <v>191</v>
      </c>
      <c r="D336" s="16"/>
    </row>
    <row r="337" spans="1:4" ht="12.75">
      <c r="A337" s="38" t="s">
        <v>298</v>
      </c>
      <c r="B337" s="25"/>
      <c r="C337" s="39"/>
      <c r="D337" s="16"/>
    </row>
    <row r="338" spans="1:4" ht="14.25">
      <c r="A338" s="114" t="s">
        <v>114</v>
      </c>
      <c r="B338" s="117" t="s">
        <v>266</v>
      </c>
      <c r="C338" s="124">
        <v>104</v>
      </c>
      <c r="D338" s="16"/>
    </row>
    <row r="339" spans="1:4" ht="14.25">
      <c r="A339" s="114" t="s">
        <v>116</v>
      </c>
      <c r="B339" s="117" t="s">
        <v>267</v>
      </c>
      <c r="C339" s="124">
        <v>89</v>
      </c>
      <c r="D339" s="16"/>
    </row>
    <row r="340" spans="1:4" ht="15.75">
      <c r="A340" s="38" t="s">
        <v>299</v>
      </c>
      <c r="B340" s="147" t="s">
        <v>300</v>
      </c>
      <c r="C340" s="39">
        <f>1-C335</f>
        <v>0.06599999999999995</v>
      </c>
      <c r="D340" s="16" t="s">
        <v>301</v>
      </c>
    </row>
    <row r="341" spans="1:4" ht="12.75">
      <c r="A341" s="38" t="s">
        <v>302</v>
      </c>
      <c r="B341" s="25" t="s">
        <v>310</v>
      </c>
      <c r="C341" s="39">
        <f>C340^0.5</f>
        <v>0.2569046515733025</v>
      </c>
      <c r="D341" s="16"/>
    </row>
    <row r="342" spans="1:4" ht="15.75">
      <c r="A342" s="38" t="s">
        <v>304</v>
      </c>
      <c r="B342" s="144" t="s">
        <v>306</v>
      </c>
      <c r="C342" s="145">
        <v>0.035</v>
      </c>
      <c r="D342" s="16"/>
    </row>
    <row r="343" spans="1:4" ht="15.75">
      <c r="A343" s="38" t="s">
        <v>305</v>
      </c>
      <c r="B343" s="144" t="s">
        <v>307</v>
      </c>
      <c r="C343" s="145">
        <v>0.058</v>
      </c>
      <c r="D343" s="16"/>
    </row>
    <row r="344" spans="1:4" ht="12.75">
      <c r="A344" s="38" t="s">
        <v>308</v>
      </c>
      <c r="B344" s="25" t="s">
        <v>311</v>
      </c>
      <c r="C344" s="39">
        <f>C342^0.5</f>
        <v>0.18708286933869708</v>
      </c>
      <c r="D344" s="16"/>
    </row>
    <row r="345" spans="1:4" ht="12.75">
      <c r="A345" s="38" t="s">
        <v>309</v>
      </c>
      <c r="B345" s="25" t="s">
        <v>312</v>
      </c>
      <c r="C345" s="39">
        <f>C343^0.5</f>
        <v>0.24083189157584592</v>
      </c>
      <c r="D345" s="16"/>
    </row>
    <row r="346" spans="1:4" ht="13.5" thickBot="1">
      <c r="A346" s="40" t="s">
        <v>313</v>
      </c>
      <c r="B346" s="41" t="s">
        <v>313</v>
      </c>
      <c r="C346" s="148">
        <f>(C342+C343)/2</f>
        <v>0.0465</v>
      </c>
      <c r="D346" s="16" t="s">
        <v>314</v>
      </c>
    </row>
    <row r="347" spans="1:4" ht="12.75">
      <c r="A347" s="16"/>
      <c r="B347" s="17"/>
      <c r="C347" s="17"/>
      <c r="D347" s="16"/>
    </row>
    <row r="348" spans="1:4" ht="12.75">
      <c r="A348" s="16"/>
      <c r="B348" s="17"/>
      <c r="C348" s="17"/>
      <c r="D348" s="16"/>
    </row>
    <row r="349" spans="1:4" ht="13.5" thickBot="1">
      <c r="A349" s="16"/>
      <c r="B349" s="17"/>
      <c r="C349" s="17"/>
      <c r="D349" s="16"/>
    </row>
    <row r="350" spans="1:4" ht="13.5" thickBot="1">
      <c r="A350" s="154" t="s">
        <v>315</v>
      </c>
      <c r="B350" s="17"/>
      <c r="C350" s="17"/>
      <c r="D350" s="16"/>
    </row>
    <row r="351" spans="1:4" ht="12.75">
      <c r="A351" s="36" t="s">
        <v>316</v>
      </c>
      <c r="B351" s="149" t="s">
        <v>318</v>
      </c>
      <c r="C351" s="150">
        <v>2.278</v>
      </c>
      <c r="D351" s="16"/>
    </row>
    <row r="352" spans="1:4" ht="12.75">
      <c r="A352" s="38" t="s">
        <v>317</v>
      </c>
      <c r="B352" s="151" t="s">
        <v>319</v>
      </c>
      <c r="C352" s="145">
        <v>63.338</v>
      </c>
      <c r="D352" s="16"/>
    </row>
    <row r="353" spans="1:4" ht="12.75">
      <c r="A353" s="38" t="s">
        <v>151</v>
      </c>
      <c r="B353" s="25" t="s">
        <v>320</v>
      </c>
      <c r="C353" s="39">
        <f>SUM(C351:C352)</f>
        <v>65.616</v>
      </c>
      <c r="D353" s="16"/>
    </row>
    <row r="354" spans="1:4" ht="15.75">
      <c r="A354" s="38" t="s">
        <v>191</v>
      </c>
      <c r="B354" s="147" t="s">
        <v>300</v>
      </c>
      <c r="C354" s="39">
        <f>C351/C352</f>
        <v>0.035965770943193656</v>
      </c>
      <c r="D354" s="16"/>
    </row>
    <row r="355" spans="1:4" ht="15.75">
      <c r="A355" s="38" t="s">
        <v>323</v>
      </c>
      <c r="B355" s="147" t="s">
        <v>321</v>
      </c>
      <c r="C355" s="39">
        <f>((C351-(C356*C359)))/((C351+(C360-C356)*C359))</f>
        <v>0.029514145529126158</v>
      </c>
      <c r="D355" s="16"/>
    </row>
    <row r="356" spans="1:4" ht="14.25">
      <c r="A356" s="38" t="s">
        <v>322</v>
      </c>
      <c r="B356" s="20" t="s">
        <v>324</v>
      </c>
      <c r="C356" s="146">
        <f>C358-1</f>
        <v>1</v>
      </c>
      <c r="D356" s="16"/>
    </row>
    <row r="357" spans="1:4" ht="14.25">
      <c r="A357" s="38" t="s">
        <v>328</v>
      </c>
      <c r="B357" s="20" t="s">
        <v>329</v>
      </c>
      <c r="C357" s="146">
        <f>C360-C358</f>
        <v>191</v>
      </c>
      <c r="D357" s="16"/>
    </row>
    <row r="358" spans="1:4" ht="12.75">
      <c r="A358" s="38" t="s">
        <v>325</v>
      </c>
      <c r="B358" s="151" t="s">
        <v>326</v>
      </c>
      <c r="C358" s="145">
        <v>2</v>
      </c>
      <c r="D358" s="16"/>
    </row>
    <row r="359" spans="1:4" ht="14.25">
      <c r="A359" s="38" t="s">
        <v>215</v>
      </c>
      <c r="B359" s="25" t="s">
        <v>327</v>
      </c>
      <c r="C359" s="39">
        <f>C352/C357</f>
        <v>0.3316125654450262</v>
      </c>
      <c r="D359" s="16"/>
    </row>
    <row r="360" spans="1:4" ht="13.5" thickBot="1">
      <c r="A360" s="40" t="s">
        <v>99</v>
      </c>
      <c r="B360" s="152" t="s">
        <v>2</v>
      </c>
      <c r="C360" s="153">
        <v>193</v>
      </c>
      <c r="D360" s="16"/>
    </row>
    <row r="361" spans="1:4" ht="13.5" thickBot="1">
      <c r="A361" s="19"/>
      <c r="B361" s="20"/>
      <c r="C361" s="20"/>
      <c r="D361" s="22"/>
    </row>
    <row r="362" spans="1:4" ht="13.5" thickBot="1">
      <c r="A362" s="168" t="s">
        <v>344</v>
      </c>
      <c r="B362" s="20"/>
      <c r="C362" s="20"/>
      <c r="D362" s="22"/>
    </row>
    <row r="363" spans="1:4" ht="12.75">
      <c r="A363" s="36" t="s">
        <v>316</v>
      </c>
      <c r="B363" s="149" t="s">
        <v>318</v>
      </c>
      <c r="C363" s="150">
        <v>1.212</v>
      </c>
      <c r="D363" s="22"/>
    </row>
    <row r="364" spans="1:4" ht="12.75">
      <c r="A364" s="38" t="s">
        <v>317</v>
      </c>
      <c r="B364" s="151" t="s">
        <v>319</v>
      </c>
      <c r="C364" s="145">
        <v>64.785</v>
      </c>
      <c r="D364" s="22">
        <f>C364/C369</f>
        <v>0.21813131313131312</v>
      </c>
    </row>
    <row r="365" spans="1:4" ht="12.75">
      <c r="A365" s="38" t="s">
        <v>151</v>
      </c>
      <c r="B365" s="25" t="s">
        <v>320</v>
      </c>
      <c r="C365" s="39">
        <f>SUM(C363:C364)</f>
        <v>65.997</v>
      </c>
      <c r="D365" s="22"/>
    </row>
    <row r="366" spans="1:4" ht="15.75">
      <c r="A366" s="38" t="s">
        <v>191</v>
      </c>
      <c r="B366" s="25" t="s">
        <v>300</v>
      </c>
      <c r="C366" s="39">
        <f>C363/C365</f>
        <v>0.018364471112323286</v>
      </c>
      <c r="D366" s="22"/>
    </row>
    <row r="367" spans="1:4" ht="12.75">
      <c r="A367" s="169" t="s">
        <v>374</v>
      </c>
      <c r="B367" s="151"/>
      <c r="C367" s="145">
        <v>4.363636363636363</v>
      </c>
      <c r="D367" s="22"/>
    </row>
    <row r="368" spans="1:4" ht="12.75">
      <c r="A368" s="159" t="s">
        <v>375</v>
      </c>
      <c r="B368" s="151"/>
      <c r="C368" s="145">
        <v>4.275805369127519</v>
      </c>
      <c r="D368" s="22"/>
    </row>
    <row r="369" spans="1:4" ht="12.75">
      <c r="A369" s="159" t="s">
        <v>376</v>
      </c>
      <c r="B369" s="151"/>
      <c r="C369" s="145">
        <v>297</v>
      </c>
      <c r="D369" s="161"/>
    </row>
    <row r="370" spans="1:4" ht="12.75">
      <c r="A370" s="169" t="s">
        <v>376</v>
      </c>
      <c r="B370" s="151"/>
      <c r="C370" s="145">
        <v>297</v>
      </c>
      <c r="D370" s="161"/>
    </row>
    <row r="371" spans="1:4" ht="12.75">
      <c r="A371" s="169" t="s">
        <v>377</v>
      </c>
      <c r="B371" s="151"/>
      <c r="C371" s="145">
        <v>0.5565110565110574</v>
      </c>
      <c r="D371" s="22"/>
    </row>
    <row r="372" spans="1:4" ht="12.75">
      <c r="A372" s="159" t="s">
        <v>382</v>
      </c>
      <c r="B372" s="151"/>
      <c r="C372" s="145">
        <v>0.38414766569496617</v>
      </c>
      <c r="D372" s="22"/>
    </row>
    <row r="373" spans="1:4" ht="12.75">
      <c r="A373" s="159" t="s">
        <v>378</v>
      </c>
      <c r="B373" s="19"/>
      <c r="C373" s="146">
        <f>C371^0.5</f>
        <v>0.7459966866622515</v>
      </c>
      <c r="D373" s="22"/>
    </row>
    <row r="374" spans="1:4" ht="12.75">
      <c r="A374" s="159" t="s">
        <v>379</v>
      </c>
      <c r="B374" s="19"/>
      <c r="C374" s="146">
        <f>C372^0.5</f>
        <v>0.6197964711862808</v>
      </c>
      <c r="D374" s="22"/>
    </row>
    <row r="375" spans="1:4" ht="12.75">
      <c r="A375" s="169" t="s">
        <v>380</v>
      </c>
      <c r="B375" s="20"/>
      <c r="C375" s="146">
        <f>C373/C369^0.5</f>
        <v>0.04328711818829398</v>
      </c>
      <c r="D375" s="22"/>
    </row>
    <row r="376" spans="1:4" ht="12.75">
      <c r="A376" s="159" t="s">
        <v>381</v>
      </c>
      <c r="B376" s="20"/>
      <c r="C376" s="146">
        <f>C374/C370^0.5</f>
        <v>0.03596423895790699</v>
      </c>
      <c r="D376" s="22"/>
    </row>
    <row r="377" spans="1:4" ht="12.75">
      <c r="A377" s="169" t="s">
        <v>373</v>
      </c>
      <c r="B377" s="20"/>
      <c r="C377" s="146">
        <f>C371+C372</f>
        <v>0.9406587222060235</v>
      </c>
      <c r="D377" s="22">
        <f>((C371+C372)^2)^0.5</f>
        <v>0.9406587222060235</v>
      </c>
    </row>
    <row r="378" spans="1:4" ht="12.75">
      <c r="A378" s="169" t="s">
        <v>372</v>
      </c>
      <c r="B378" s="20"/>
      <c r="C378" s="146">
        <f>(C369-1)*C377</f>
        <v>278.43498177298295</v>
      </c>
      <c r="D378" s="22"/>
    </row>
    <row r="379" spans="1:4" ht="15.75">
      <c r="A379" s="38" t="s">
        <v>383</v>
      </c>
      <c r="B379" s="25" t="s">
        <v>392</v>
      </c>
      <c r="C379" s="39">
        <f>C363/(C363+C378)</f>
        <v>0.004334035691412897</v>
      </c>
      <c r="D379" s="22"/>
    </row>
    <row r="380" spans="1:4" ht="15.75">
      <c r="A380" s="170" t="s">
        <v>391</v>
      </c>
      <c r="B380" s="165" t="s">
        <v>393</v>
      </c>
      <c r="C380" s="171">
        <f>((C363-(C383*C377))/((C363+(C369+C370-C383)*C377)))</f>
        <v>0.0004853851471932199</v>
      </c>
      <c r="D380" s="22"/>
    </row>
    <row r="381" spans="1:4" ht="12.75">
      <c r="A381" s="38" t="s">
        <v>396</v>
      </c>
      <c r="B381" s="25"/>
      <c r="C381" s="39">
        <f>C364/(C369-1)</f>
        <v>0.21886824324324322</v>
      </c>
      <c r="D381" s="16"/>
    </row>
    <row r="382" spans="1:4" ht="12.75">
      <c r="A382" s="38" t="s">
        <v>394</v>
      </c>
      <c r="B382" s="25"/>
      <c r="C382" s="128">
        <f>C378/(C369+C370-2)</f>
        <v>0.47032936110301177</v>
      </c>
      <c r="D382" s="16"/>
    </row>
    <row r="383" spans="1:4" ht="12.75">
      <c r="A383" s="38" t="s">
        <v>395</v>
      </c>
      <c r="B383" s="151"/>
      <c r="C383" s="145">
        <v>1</v>
      </c>
      <c r="D383" s="16"/>
    </row>
    <row r="384" spans="1:4" ht="13.5" thickBot="1">
      <c r="A384" s="105" t="s">
        <v>323</v>
      </c>
      <c r="B384" s="157"/>
      <c r="C384" s="158">
        <f>((C363-(C383*C381))/((C363+(C369+C370-C383)*C381)))</f>
        <v>0.007581108202372397</v>
      </c>
      <c r="D384" s="16"/>
    </row>
    <row r="385" spans="1:4" ht="13.5" thickBot="1">
      <c r="A385" s="16"/>
      <c r="B385" s="17"/>
      <c r="C385" s="17"/>
      <c r="D385" s="16"/>
    </row>
    <row r="386" spans="1:4" ht="13.5" thickBot="1">
      <c r="A386" s="178" t="s">
        <v>431</v>
      </c>
      <c r="B386" s="17"/>
      <c r="C386" s="17"/>
      <c r="D386" s="16"/>
    </row>
    <row r="387" spans="1:4" ht="12.75">
      <c r="A387" s="57" t="s">
        <v>278</v>
      </c>
      <c r="B387" s="58" t="s">
        <v>276</v>
      </c>
      <c r="C387" s="59">
        <f>C393*(C391)</f>
        <v>165.429</v>
      </c>
      <c r="D387" s="16"/>
    </row>
    <row r="388" spans="1:4" ht="12.75">
      <c r="A388" s="60" t="s">
        <v>279</v>
      </c>
      <c r="B388" s="50" t="s">
        <v>277</v>
      </c>
      <c r="C388" s="64">
        <f>C394*(C392)</f>
        <v>114.048</v>
      </c>
      <c r="D388" s="16"/>
    </row>
    <row r="389" spans="1:4" ht="12.75">
      <c r="A389" s="60" t="s">
        <v>113</v>
      </c>
      <c r="B389" s="179" t="s">
        <v>284</v>
      </c>
      <c r="C389" s="180">
        <v>0.43067</v>
      </c>
      <c r="D389" s="16"/>
    </row>
    <row r="390" spans="1:4" ht="12.75">
      <c r="A390" s="60" t="s">
        <v>98</v>
      </c>
      <c r="B390" s="51" t="s">
        <v>2</v>
      </c>
      <c r="C390" s="61">
        <v>297</v>
      </c>
      <c r="D390" s="16"/>
    </row>
    <row r="391" spans="1:4" ht="14.25">
      <c r="A391" s="60" t="s">
        <v>114</v>
      </c>
      <c r="B391" s="51" t="s">
        <v>424</v>
      </c>
      <c r="C391" s="61">
        <v>297</v>
      </c>
      <c r="D391" s="16"/>
    </row>
    <row r="392" spans="1:4" ht="14.25">
      <c r="A392" s="60" t="s">
        <v>116</v>
      </c>
      <c r="B392" s="51" t="s">
        <v>425</v>
      </c>
      <c r="C392" s="61">
        <v>297</v>
      </c>
      <c r="D392" s="16"/>
    </row>
    <row r="393" spans="1:4" ht="15.75">
      <c r="A393" s="60" t="s">
        <v>118</v>
      </c>
      <c r="B393" s="51" t="s">
        <v>426</v>
      </c>
      <c r="C393" s="61">
        <v>0.557</v>
      </c>
      <c r="D393" s="16"/>
    </row>
    <row r="394" spans="1:4" ht="15.75">
      <c r="A394" s="60" t="s">
        <v>119</v>
      </c>
      <c r="B394" s="51" t="s">
        <v>427</v>
      </c>
      <c r="C394" s="61">
        <v>0.384</v>
      </c>
      <c r="D394" s="16"/>
    </row>
    <row r="395" spans="1:4" ht="12.75">
      <c r="A395" s="181" t="s">
        <v>378</v>
      </c>
      <c r="B395" s="182"/>
      <c r="C395" s="63">
        <f>C393^0.5</f>
        <v>0.7463243262818117</v>
      </c>
      <c r="D395" s="16"/>
    </row>
    <row r="396" spans="1:4" ht="12.75">
      <c r="A396" s="181" t="s">
        <v>379</v>
      </c>
      <c r="B396" s="182"/>
      <c r="C396" s="63">
        <f>C394^0.5</f>
        <v>0.6196773353931867</v>
      </c>
      <c r="D396" s="16"/>
    </row>
    <row r="397" spans="1:4" ht="12.75">
      <c r="A397" s="60" t="s">
        <v>120</v>
      </c>
      <c r="B397" s="179" t="s">
        <v>282</v>
      </c>
      <c r="C397" s="180">
        <v>0.038</v>
      </c>
      <c r="D397" s="101"/>
    </row>
    <row r="398" spans="1:4" ht="14.25">
      <c r="A398" s="60" t="s">
        <v>121</v>
      </c>
      <c r="B398" s="50" t="s">
        <v>428</v>
      </c>
      <c r="C398" s="64">
        <f>((C390-C391)/(C390-1))^0.5</f>
        <v>0</v>
      </c>
      <c r="D398" s="16"/>
    </row>
    <row r="399" spans="1:4" ht="12.75">
      <c r="A399" s="60" t="s">
        <v>122</v>
      </c>
      <c r="B399" s="50" t="s">
        <v>123</v>
      </c>
      <c r="C399" s="64">
        <f>((C390-C392)/(C390-1))^0.5</f>
        <v>0</v>
      </c>
      <c r="D399" s="16"/>
    </row>
    <row r="400" spans="1:4" ht="12.75">
      <c r="A400" s="60" t="s">
        <v>59</v>
      </c>
      <c r="B400" s="50" t="s">
        <v>60</v>
      </c>
      <c r="C400" s="64">
        <f>1-C401</f>
        <v>0.95</v>
      </c>
      <c r="D400" s="16"/>
    </row>
    <row r="401" spans="1:4" ht="12.75">
      <c r="A401" s="60" t="s">
        <v>61</v>
      </c>
      <c r="B401" s="51" t="s">
        <v>61</v>
      </c>
      <c r="C401" s="61">
        <v>0.05</v>
      </c>
      <c r="D401" s="16"/>
    </row>
    <row r="402" spans="1:4" ht="12.75">
      <c r="A402" s="60" t="s">
        <v>62</v>
      </c>
      <c r="B402" s="50" t="s">
        <v>83</v>
      </c>
      <c r="C402" s="64">
        <f>1-(C401/2)</f>
        <v>0.975</v>
      </c>
      <c r="D402" s="16"/>
    </row>
    <row r="403" spans="1:4" ht="12.75">
      <c r="A403" s="60" t="s">
        <v>111</v>
      </c>
      <c r="B403" s="50" t="s">
        <v>71</v>
      </c>
      <c r="C403" s="64">
        <f>TINV(C401,C404)</f>
        <v>1.9680106640474033</v>
      </c>
      <c r="D403" s="16"/>
    </row>
    <row r="404" spans="1:4" ht="12.75">
      <c r="A404" s="60" t="s">
        <v>112</v>
      </c>
      <c r="B404" s="50" t="s">
        <v>73</v>
      </c>
      <c r="C404" s="64">
        <f>C391-1</f>
        <v>296</v>
      </c>
      <c r="D404" s="16"/>
    </row>
    <row r="405" spans="1:4" ht="14.25">
      <c r="A405" s="60" t="s">
        <v>82</v>
      </c>
      <c r="B405" s="51" t="s">
        <v>429</v>
      </c>
      <c r="C405" s="61">
        <v>4.364</v>
      </c>
      <c r="D405" s="16"/>
    </row>
    <row r="406" spans="1:4" ht="14.25">
      <c r="A406" s="60" t="s">
        <v>124</v>
      </c>
      <c r="B406" s="51" t="s">
        <v>430</v>
      </c>
      <c r="C406" s="61">
        <v>4.276</v>
      </c>
      <c r="D406" s="16"/>
    </row>
    <row r="407" spans="1:4" ht="12.75">
      <c r="A407" s="60" t="s">
        <v>125</v>
      </c>
      <c r="B407" s="50" t="s">
        <v>108</v>
      </c>
      <c r="C407" s="64">
        <f>(C405-C406)-((C403*C397))</f>
        <v>0.013215594766198754</v>
      </c>
      <c r="D407" s="16"/>
    </row>
    <row r="408" spans="1:4" ht="13.5" thickBot="1">
      <c r="A408" s="65" t="s">
        <v>126</v>
      </c>
      <c r="B408" s="66" t="s">
        <v>110</v>
      </c>
      <c r="C408" s="67">
        <f>(C405-C406)+((C403*C397))</f>
        <v>0.1627844052338014</v>
      </c>
      <c r="D408" s="16"/>
    </row>
    <row r="409" spans="1:4" ht="12.75">
      <c r="A409" s="16"/>
      <c r="B409" s="17"/>
      <c r="C409" s="17"/>
      <c r="D409" s="16"/>
    </row>
    <row r="410" s="7" customFormat="1" ht="31.5" customHeight="1" thickBot="1">
      <c r="A410" s="205" t="s">
        <v>499</v>
      </c>
    </row>
    <row r="411" spans="1:4" ht="13.5" thickBot="1">
      <c r="A411" s="54" t="s">
        <v>23</v>
      </c>
      <c r="B411" s="55" t="s">
        <v>24</v>
      </c>
      <c r="C411" s="56">
        <f>NORMSDIST(C415)</f>
        <v>0.5202856320712863</v>
      </c>
      <c r="D411" s="18" t="s">
        <v>25</v>
      </c>
    </row>
    <row r="412" spans="1:4" ht="12.75">
      <c r="A412" s="19"/>
      <c r="B412" s="20"/>
      <c r="C412" s="20"/>
      <c r="D412" s="21"/>
    </row>
    <row r="413" spans="1:4" ht="13.5" thickBot="1">
      <c r="A413" s="16"/>
      <c r="B413" s="17"/>
      <c r="C413" s="17"/>
      <c r="D413" s="18"/>
    </row>
    <row r="414" spans="1:4" ht="13.5" thickBot="1">
      <c r="A414" s="23" t="s">
        <v>26</v>
      </c>
      <c r="B414" s="17"/>
      <c r="C414" s="17"/>
      <c r="D414" s="16"/>
    </row>
    <row r="415" spans="1:9" ht="12.75">
      <c r="A415" s="57" t="s">
        <v>27</v>
      </c>
      <c r="B415" s="58" t="s">
        <v>28</v>
      </c>
      <c r="C415" s="59">
        <f>(C416-C417)/C458</f>
        <v>0.05087047087947113</v>
      </c>
      <c r="D415" s="16"/>
      <c r="F415" s="217" t="s">
        <v>0</v>
      </c>
      <c r="G415" s="217"/>
      <c r="H415" s="217"/>
      <c r="I415" s="217"/>
    </row>
    <row r="416" spans="1:9" ht="12.75">
      <c r="A416" s="60" t="s">
        <v>29</v>
      </c>
      <c r="B416" s="51" t="s">
        <v>30</v>
      </c>
      <c r="C416" s="61">
        <v>4.389610389610388</v>
      </c>
      <c r="D416" s="16"/>
      <c r="F416" s="217" t="s">
        <v>500</v>
      </c>
      <c r="G416" s="217"/>
      <c r="H416" s="217"/>
      <c r="I416" s="217"/>
    </row>
    <row r="417" spans="1:10" ht="12.75">
      <c r="A417" s="60" t="s">
        <v>31</v>
      </c>
      <c r="B417" s="51" t="s">
        <v>32</v>
      </c>
      <c r="C417" s="61">
        <v>4.351598173515981</v>
      </c>
      <c r="D417" s="16"/>
      <c r="F417" s="217" t="s">
        <v>501</v>
      </c>
      <c r="G417" s="217" t="s">
        <v>3</v>
      </c>
      <c r="H417" s="217" t="s">
        <v>4</v>
      </c>
      <c r="I417" s="217" t="s">
        <v>2</v>
      </c>
      <c r="J417" s="219" t="s">
        <v>498</v>
      </c>
    </row>
    <row r="418" spans="1:10" ht="12.75">
      <c r="A418" s="60" t="s">
        <v>33</v>
      </c>
      <c r="B418" s="51" t="s">
        <v>34</v>
      </c>
      <c r="C418" s="61">
        <v>0.576</v>
      </c>
      <c r="D418" s="16" t="s">
        <v>35</v>
      </c>
      <c r="F418" s="217">
        <v>1</v>
      </c>
      <c r="G418" s="217">
        <v>3.949786324786325</v>
      </c>
      <c r="H418" s="217">
        <v>0.6742249982597263</v>
      </c>
      <c r="I418" s="217">
        <v>78</v>
      </c>
      <c r="J418">
        <f>H418^2</f>
        <v>0.45457934827832785</v>
      </c>
    </row>
    <row r="419" spans="1:10" ht="15.75">
      <c r="A419" s="60" t="s">
        <v>36</v>
      </c>
      <c r="B419" s="50" t="s">
        <v>203</v>
      </c>
      <c r="C419" s="64">
        <f>C415^2/(4+C415^2)</f>
        <v>0.000646532926620851</v>
      </c>
      <c r="D419" s="16"/>
      <c r="F419" s="217">
        <v>2</v>
      </c>
      <c r="G419" s="217">
        <v>4.389813002826703</v>
      </c>
      <c r="H419" s="217">
        <v>0.5573766468408599</v>
      </c>
      <c r="I419" s="217">
        <v>219</v>
      </c>
      <c r="J419">
        <f>H419^2</f>
        <v>0.3106687264435606</v>
      </c>
    </row>
    <row r="420" spans="1:9" ht="12.75">
      <c r="A420" s="60" t="s">
        <v>37</v>
      </c>
      <c r="B420" s="50" t="s">
        <v>38</v>
      </c>
      <c r="C420" s="64">
        <f>C419^0.5</f>
        <v>0.025427011751695303</v>
      </c>
      <c r="D420" s="16" t="s">
        <v>39</v>
      </c>
      <c r="F420" s="217" t="s">
        <v>198</v>
      </c>
      <c r="G420" s="217">
        <v>4.274250440917108</v>
      </c>
      <c r="H420" s="217">
        <v>0.6202241198587376</v>
      </c>
      <c r="I420" s="217">
        <v>297</v>
      </c>
    </row>
    <row r="421" spans="1:4" ht="12.75">
      <c r="A421" s="60" t="s">
        <v>40</v>
      </c>
      <c r="B421" s="51" t="s">
        <v>41</v>
      </c>
      <c r="C421" s="61">
        <v>78</v>
      </c>
      <c r="D421" s="16"/>
    </row>
    <row r="422" spans="1:4" ht="12.75">
      <c r="A422" s="60" t="s">
        <v>42</v>
      </c>
      <c r="B422" s="51" t="s">
        <v>43</v>
      </c>
      <c r="C422" s="61">
        <v>219</v>
      </c>
      <c r="D422" s="16"/>
    </row>
    <row r="423" spans="1:14" ht="12.75">
      <c r="A423" s="60" t="s">
        <v>44</v>
      </c>
      <c r="B423" s="51" t="s">
        <v>2</v>
      </c>
      <c r="C423" s="61">
        <v>1100</v>
      </c>
      <c r="D423" s="16"/>
      <c r="F423" s="217" t="s">
        <v>187</v>
      </c>
      <c r="G423" s="217"/>
      <c r="H423" s="217"/>
      <c r="I423" s="217"/>
      <c r="J423" s="217"/>
      <c r="K423" s="217"/>
      <c r="L423" s="217"/>
      <c r="M423" s="217"/>
      <c r="N423" s="217"/>
    </row>
    <row r="424" spans="1:14" ht="15.75">
      <c r="A424" s="60" t="s">
        <v>45</v>
      </c>
      <c r="B424" s="50" t="s">
        <v>203</v>
      </c>
      <c r="C424" s="64">
        <f>(C415^2)/((C415^2)+((C423^2-2*C423)/(C421*C422))^0.5)</f>
        <v>0.00030765907238303533</v>
      </c>
      <c r="D424" s="16" t="s">
        <v>46</v>
      </c>
      <c r="F424" s="217" t="s">
        <v>500</v>
      </c>
      <c r="G424" s="217"/>
      <c r="H424" s="217"/>
      <c r="I424" s="217"/>
      <c r="J424" s="217"/>
      <c r="K424" s="217"/>
      <c r="L424" s="217"/>
      <c r="M424" s="217"/>
      <c r="N424" s="217"/>
    </row>
    <row r="425" spans="1:14" ht="12.75">
      <c r="A425" s="38"/>
      <c r="B425" s="25"/>
      <c r="C425" s="39">
        <f>C424^0.5</f>
        <v>0.017540213008485253</v>
      </c>
      <c r="D425" s="16"/>
      <c r="F425" s="217" t="s">
        <v>188</v>
      </c>
      <c r="G425" s="217" t="s">
        <v>189</v>
      </c>
      <c r="H425" s="217" t="s">
        <v>175</v>
      </c>
      <c r="I425" s="217" t="s">
        <v>190</v>
      </c>
      <c r="J425" s="217" t="s">
        <v>173</v>
      </c>
      <c r="K425" s="217" t="s">
        <v>183</v>
      </c>
      <c r="L425" s="217" t="s">
        <v>191</v>
      </c>
      <c r="M425" s="217" t="s">
        <v>192</v>
      </c>
      <c r="N425" s="217" t="s">
        <v>193</v>
      </c>
    </row>
    <row r="426" spans="1:14" ht="15.75">
      <c r="A426" s="60" t="s">
        <v>47</v>
      </c>
      <c r="B426" s="50" t="s">
        <v>203</v>
      </c>
      <c r="C426" s="64">
        <f>C415^2/(4+C415^2)</f>
        <v>0.000646532926620851</v>
      </c>
      <c r="D426" s="16"/>
      <c r="F426" s="217" t="s">
        <v>194</v>
      </c>
      <c r="G426" s="217">
        <v>11.136283638817744</v>
      </c>
      <c r="H426" s="217">
        <v>1</v>
      </c>
      <c r="I426" s="217">
        <v>11.136283638817744</v>
      </c>
      <c r="J426" s="217">
        <v>31.979510276252366</v>
      </c>
      <c r="K426" s="217">
        <v>3.680216180028776E-08</v>
      </c>
      <c r="L426" s="217">
        <v>0.0978027958058721</v>
      </c>
      <c r="M426" s="217">
        <v>31.979510276252366</v>
      </c>
      <c r="N426" s="217">
        <v>0.9998818131025914</v>
      </c>
    </row>
    <row r="427" spans="1:14" ht="12.75">
      <c r="A427" s="60"/>
      <c r="B427" s="50" t="s">
        <v>38</v>
      </c>
      <c r="C427" s="64">
        <f>C426^0.5</f>
        <v>0.025427011751695303</v>
      </c>
      <c r="D427" s="16"/>
      <c r="F427" s="217" t="s">
        <v>195</v>
      </c>
      <c r="G427" s="217">
        <v>4000.1164958134705</v>
      </c>
      <c r="H427" s="217">
        <v>1</v>
      </c>
      <c r="I427" s="217">
        <v>4000.1164958134705</v>
      </c>
      <c r="J427" s="217">
        <v>11486.935025449297</v>
      </c>
      <c r="K427" s="217">
        <v>2.9270160318115413E-238</v>
      </c>
      <c r="L427" s="217">
        <v>0.9749616680653227</v>
      </c>
      <c r="M427" s="217">
        <v>11486.935025449297</v>
      </c>
      <c r="N427" s="217">
        <v>1</v>
      </c>
    </row>
    <row r="428" spans="1:14" ht="12.75">
      <c r="A428" s="60" t="s">
        <v>40</v>
      </c>
      <c r="B428" s="50" t="s">
        <v>41</v>
      </c>
      <c r="C428" s="64">
        <v>104</v>
      </c>
      <c r="D428" s="16"/>
      <c r="F428" s="217" t="s">
        <v>501</v>
      </c>
      <c r="G428" s="217">
        <v>11.136283638818087</v>
      </c>
      <c r="H428" s="217">
        <v>1</v>
      </c>
      <c r="I428" s="217">
        <v>11.136283638818087</v>
      </c>
      <c r="J428" s="217">
        <v>31.97951027625335</v>
      </c>
      <c r="K428" s="217">
        <v>3.680216180027115E-08</v>
      </c>
      <c r="L428" s="217">
        <v>0.09780279580587481</v>
      </c>
      <c r="M428" s="217">
        <v>31.97951027625335</v>
      </c>
      <c r="N428" s="217">
        <v>0.9998818131025914</v>
      </c>
    </row>
    <row r="429" spans="1:14" ht="12.75">
      <c r="A429" s="60" t="s">
        <v>42</v>
      </c>
      <c r="B429" s="50" t="s">
        <v>43</v>
      </c>
      <c r="C429" s="64">
        <v>89</v>
      </c>
      <c r="D429" s="16"/>
      <c r="F429" s="217" t="s">
        <v>197</v>
      </c>
      <c r="G429" s="217">
        <v>102.72839218212765</v>
      </c>
      <c r="H429" s="217">
        <v>295</v>
      </c>
      <c r="I429" s="217">
        <v>0.3482318379055175</v>
      </c>
      <c r="J429" s="217"/>
      <c r="K429" s="217"/>
      <c r="L429" s="217"/>
      <c r="M429" s="217"/>
      <c r="N429" s="217"/>
    </row>
    <row r="430" spans="1:14" ht="12.75">
      <c r="A430" s="60" t="s">
        <v>44</v>
      </c>
      <c r="B430" s="50" t="s">
        <v>2</v>
      </c>
      <c r="C430" s="64">
        <v>436</v>
      </c>
      <c r="D430" s="16"/>
      <c r="F430" s="217" t="s">
        <v>198</v>
      </c>
      <c r="G430" s="217">
        <v>5539.822074829931</v>
      </c>
      <c r="H430" s="217">
        <v>297</v>
      </c>
      <c r="I430" s="217"/>
      <c r="J430" s="217"/>
      <c r="K430" s="217"/>
      <c r="L430" s="217"/>
      <c r="M430" s="217"/>
      <c r="N430" s="217"/>
    </row>
    <row r="431" spans="1:14" ht="16.5" thickBot="1">
      <c r="A431" s="65"/>
      <c r="B431" s="66" t="s">
        <v>203</v>
      </c>
      <c r="C431" s="67">
        <f>(C415^2)/((C415^2)+((C430^2-2*C430)/(C428*C429))^0.5)</f>
        <v>0.0005720139040025154</v>
      </c>
      <c r="D431" s="16" t="s">
        <v>46</v>
      </c>
      <c r="F431" s="217" t="s">
        <v>199</v>
      </c>
      <c r="G431" s="217">
        <v>113.8646758209454</v>
      </c>
      <c r="H431" s="217">
        <v>296</v>
      </c>
      <c r="I431" s="217"/>
      <c r="J431" s="217"/>
      <c r="K431" s="217"/>
      <c r="L431" s="217"/>
      <c r="M431" s="217"/>
      <c r="N431" s="217"/>
    </row>
    <row r="432" spans="1:14" ht="12.75">
      <c r="A432" s="16"/>
      <c r="B432" s="17"/>
      <c r="C432" s="17"/>
      <c r="D432" s="16"/>
      <c r="F432" s="217" t="s">
        <v>185</v>
      </c>
      <c r="G432" s="217" t="s">
        <v>200</v>
      </c>
      <c r="H432" s="217"/>
      <c r="I432" s="217"/>
      <c r="J432" s="217"/>
      <c r="K432" s="217"/>
      <c r="L432" s="217"/>
      <c r="M432" s="217"/>
      <c r="N432" s="217"/>
    </row>
    <row r="433" spans="1:14" ht="13.5" thickBot="1">
      <c r="A433" s="70" t="s">
        <v>49</v>
      </c>
      <c r="B433" s="17"/>
      <c r="C433" s="17"/>
      <c r="D433" s="16"/>
      <c r="F433" s="217" t="s">
        <v>201</v>
      </c>
      <c r="G433" s="217" t="s">
        <v>503</v>
      </c>
      <c r="H433" s="217"/>
      <c r="I433" s="217"/>
      <c r="J433" s="217"/>
      <c r="K433" s="217"/>
      <c r="L433" s="217"/>
      <c r="M433" s="217"/>
      <c r="N433" s="217"/>
    </row>
    <row r="434" spans="1:4" ht="12.75">
      <c r="A434" s="57" t="s">
        <v>48</v>
      </c>
      <c r="B434" s="58" t="s">
        <v>49</v>
      </c>
      <c r="C434" s="59">
        <f>1-C442</f>
        <v>0.6734251129288407</v>
      </c>
      <c r="D434" s="16" t="s">
        <v>50</v>
      </c>
    </row>
    <row r="435" spans="1:4" ht="12.75">
      <c r="A435" s="60" t="s">
        <v>29</v>
      </c>
      <c r="B435" s="51" t="s">
        <v>30</v>
      </c>
      <c r="C435" s="61">
        <v>3.6341463414634148</v>
      </c>
      <c r="D435" s="16" t="s">
        <v>51</v>
      </c>
    </row>
    <row r="436" spans="1:9" ht="12.75">
      <c r="A436" s="60" t="s">
        <v>31</v>
      </c>
      <c r="B436" s="51" t="s">
        <v>32</v>
      </c>
      <c r="C436" s="61">
        <v>3.0677966101694927</v>
      </c>
      <c r="D436" s="16"/>
      <c r="F436" s="217" t="s">
        <v>180</v>
      </c>
      <c r="G436" s="217"/>
      <c r="H436" s="217"/>
      <c r="I436" s="217"/>
    </row>
    <row r="437" spans="1:9" ht="12.75">
      <c r="A437" s="60" t="s">
        <v>52</v>
      </c>
      <c r="B437" s="62" t="s">
        <v>53</v>
      </c>
      <c r="C437" s="63">
        <f>C439^2</f>
        <v>0.7040048178259561</v>
      </c>
      <c r="D437" s="16"/>
      <c r="F437" s="217" t="s">
        <v>500</v>
      </c>
      <c r="G437" s="217"/>
      <c r="H437" s="217"/>
      <c r="I437" s="217"/>
    </row>
    <row r="438" spans="1:9" ht="12.75">
      <c r="A438" s="60" t="s">
        <v>54</v>
      </c>
      <c r="B438" s="62" t="s">
        <v>55</v>
      </c>
      <c r="C438" s="63">
        <f>C440^2</f>
        <v>0.884253223236274</v>
      </c>
      <c r="D438" s="16"/>
      <c r="F438" s="217" t="s">
        <v>173</v>
      </c>
      <c r="G438" s="217" t="s">
        <v>181</v>
      </c>
      <c r="H438" s="217" t="s">
        <v>182</v>
      </c>
      <c r="I438" s="217" t="s">
        <v>183</v>
      </c>
    </row>
    <row r="439" spans="1:9" ht="14.25">
      <c r="A439" s="60" t="s">
        <v>64</v>
      </c>
      <c r="B439" s="52" t="s">
        <v>207</v>
      </c>
      <c r="C439" s="61">
        <v>0.839049949541716</v>
      </c>
      <c r="D439" s="16"/>
      <c r="F439" s="217">
        <v>2.05610309163074</v>
      </c>
      <c r="G439" s="217">
        <v>1</v>
      </c>
      <c r="H439" s="217">
        <v>295</v>
      </c>
      <c r="I439" s="217">
        <v>0.1526565215828156</v>
      </c>
    </row>
    <row r="440" spans="1:9" ht="14.25">
      <c r="A440" s="60" t="s">
        <v>65</v>
      </c>
      <c r="B440" s="52" t="s">
        <v>208</v>
      </c>
      <c r="C440" s="61">
        <v>0.9403473949750029</v>
      </c>
      <c r="D440" s="16"/>
      <c r="F440" s="217" t="s">
        <v>184</v>
      </c>
      <c r="G440" s="217"/>
      <c r="H440" s="217"/>
      <c r="I440" s="217"/>
    </row>
    <row r="441" spans="1:9" ht="12.75">
      <c r="A441" s="60" t="s">
        <v>56</v>
      </c>
      <c r="B441" s="50" t="s">
        <v>56</v>
      </c>
      <c r="C441" s="64">
        <f>((0-(C435-C436))/((C437+C438)^0.5))</f>
        <v>-0.44939078984141956</v>
      </c>
      <c r="D441" s="16"/>
      <c r="F441" s="217" t="s">
        <v>185</v>
      </c>
      <c r="G441" s="217" t="s">
        <v>502</v>
      </c>
      <c r="H441" s="217"/>
      <c r="I441" s="217"/>
    </row>
    <row r="442" spans="1:4" ht="13.5" thickBot="1">
      <c r="A442" s="65" t="s">
        <v>23</v>
      </c>
      <c r="B442" s="66" t="s">
        <v>24</v>
      </c>
      <c r="C442" s="67">
        <f>NORMSDIST(C441)</f>
        <v>0.32657488707115934</v>
      </c>
      <c r="D442" s="53"/>
    </row>
    <row r="443" spans="1:4" ht="13.5" thickBot="1">
      <c r="A443" s="16"/>
      <c r="B443" s="17"/>
      <c r="C443" s="17"/>
      <c r="D443" s="16"/>
    </row>
    <row r="444" spans="1:9" ht="13.5" thickBot="1">
      <c r="A444" s="69" t="s">
        <v>209</v>
      </c>
      <c r="B444" s="17"/>
      <c r="C444" s="17"/>
      <c r="D444" s="16"/>
      <c r="F444" s="218" t="s">
        <v>0</v>
      </c>
      <c r="G444" s="218"/>
      <c r="H444" s="218"/>
      <c r="I444" s="218"/>
    </row>
    <row r="445" spans="1:9" ht="12.75">
      <c r="A445" s="57" t="s">
        <v>57</v>
      </c>
      <c r="B445" s="58" t="s">
        <v>58</v>
      </c>
      <c r="C445" s="59">
        <f>(((C446+C447)/(C446*C447))+((C415^2)/(2*(C446+C447))))^0.5</f>
        <v>0.13187524195210001</v>
      </c>
      <c r="D445" s="16"/>
      <c r="F445" s="218" t="s">
        <v>504</v>
      </c>
      <c r="G445" s="218"/>
      <c r="H445" s="218"/>
      <c r="I445" s="218"/>
    </row>
    <row r="446" spans="1:9" ht="12.75">
      <c r="A446" s="60" t="s">
        <v>40</v>
      </c>
      <c r="B446" s="51" t="s">
        <v>41</v>
      </c>
      <c r="C446" s="61">
        <v>78</v>
      </c>
      <c r="D446" s="16"/>
      <c r="F446" s="218" t="s">
        <v>501</v>
      </c>
      <c r="G446" s="218" t="s">
        <v>3</v>
      </c>
      <c r="H446" s="218" t="s">
        <v>4</v>
      </c>
      <c r="I446" s="218" t="s">
        <v>2</v>
      </c>
    </row>
    <row r="447" spans="1:9" ht="12.75">
      <c r="A447" s="60" t="s">
        <v>42</v>
      </c>
      <c r="B447" s="51" t="s">
        <v>43</v>
      </c>
      <c r="C447" s="61">
        <v>219</v>
      </c>
      <c r="D447" s="16"/>
      <c r="F447" s="218">
        <v>1</v>
      </c>
      <c r="G447" s="218">
        <v>4.389610389610388</v>
      </c>
      <c r="H447" s="218">
        <v>0.6912202055222451</v>
      </c>
      <c r="I447" s="218">
        <v>77</v>
      </c>
    </row>
    <row r="448" spans="1:9" ht="12.75">
      <c r="A448" s="60" t="s">
        <v>59</v>
      </c>
      <c r="B448" s="50" t="s">
        <v>60</v>
      </c>
      <c r="C448" s="64">
        <f>1-C449</f>
        <v>0.95</v>
      </c>
      <c r="D448" s="16"/>
      <c r="F448" s="218">
        <v>2</v>
      </c>
      <c r="G448" s="218">
        <v>4.351598173515981</v>
      </c>
      <c r="H448" s="218">
        <v>0.7660423151631389</v>
      </c>
      <c r="I448" s="218">
        <v>219</v>
      </c>
    </row>
    <row r="449" spans="1:9" ht="12.75">
      <c r="A449" s="60" t="s">
        <v>61</v>
      </c>
      <c r="B449" s="51" t="s">
        <v>61</v>
      </c>
      <c r="C449" s="61">
        <v>0.05</v>
      </c>
      <c r="D449" s="16"/>
      <c r="F449" s="218" t="s">
        <v>198</v>
      </c>
      <c r="G449" s="218">
        <v>4.361486486486483</v>
      </c>
      <c r="H449" s="218">
        <v>0.7463378295041527</v>
      </c>
      <c r="I449" s="218">
        <v>296</v>
      </c>
    </row>
    <row r="450" spans="1:4" ht="12.75">
      <c r="A450" s="60" t="s">
        <v>62</v>
      </c>
      <c r="B450" s="50" t="s">
        <v>83</v>
      </c>
      <c r="C450" s="64">
        <f>1-(C449/2)</f>
        <v>0.975</v>
      </c>
      <c r="D450" s="16"/>
    </row>
    <row r="451" spans="1:4" ht="12.75">
      <c r="A451" s="60" t="s">
        <v>63</v>
      </c>
      <c r="B451" s="50" t="s">
        <v>56</v>
      </c>
      <c r="C451" s="64">
        <f>NORMSINV(C450)</f>
        <v>1.959963984540054</v>
      </c>
      <c r="D451" s="16"/>
    </row>
    <row r="452" spans="1:14" ht="12.75">
      <c r="A452" s="60" t="s">
        <v>210</v>
      </c>
      <c r="B452" s="50" t="s">
        <v>108</v>
      </c>
      <c r="C452" s="64">
        <f>C415-C451*C445</f>
        <v>-0.2076002537991505</v>
      </c>
      <c r="D452" s="16"/>
      <c r="F452" s="218" t="s">
        <v>187</v>
      </c>
      <c r="G452" s="218"/>
      <c r="H452" s="218"/>
      <c r="I452" s="218"/>
      <c r="J452" s="218"/>
      <c r="K452" s="218"/>
      <c r="L452" s="218"/>
      <c r="M452" s="218"/>
      <c r="N452" s="218"/>
    </row>
    <row r="453" spans="1:14" ht="13.5" thickBot="1">
      <c r="A453" s="65"/>
      <c r="B453" s="66" t="s">
        <v>110</v>
      </c>
      <c r="C453" s="67">
        <f>C415+C451*C445</f>
        <v>0.30934119555809275</v>
      </c>
      <c r="D453" s="16"/>
      <c r="F453" s="218" t="s">
        <v>504</v>
      </c>
      <c r="G453" s="218"/>
      <c r="H453" s="218"/>
      <c r="I453" s="218"/>
      <c r="J453" s="218"/>
      <c r="K453" s="218"/>
      <c r="L453" s="218"/>
      <c r="M453" s="218"/>
      <c r="N453" s="218"/>
    </row>
    <row r="454" spans="1:14" ht="12.75">
      <c r="A454" s="16"/>
      <c r="B454" s="17"/>
      <c r="C454" s="17"/>
      <c r="D454" s="16"/>
      <c r="F454" s="218" t="s">
        <v>188</v>
      </c>
      <c r="G454" s="218" t="s">
        <v>189</v>
      </c>
      <c r="H454" s="218" t="s">
        <v>175</v>
      </c>
      <c r="I454" s="218" t="s">
        <v>190</v>
      </c>
      <c r="J454" s="218" t="s">
        <v>173</v>
      </c>
      <c r="K454" s="218" t="s">
        <v>183</v>
      </c>
      <c r="L454" s="218" t="s">
        <v>191</v>
      </c>
      <c r="M454" s="218" t="s">
        <v>192</v>
      </c>
      <c r="N454" s="218" t="s">
        <v>193</v>
      </c>
    </row>
    <row r="455" spans="1:14" ht="13.5" thickBot="1">
      <c r="A455" s="16"/>
      <c r="B455" s="17"/>
      <c r="C455" s="17"/>
      <c r="D455" s="16"/>
      <c r="F455" s="218" t="s">
        <v>194</v>
      </c>
      <c r="G455" s="218">
        <v>0.08231699498870171</v>
      </c>
      <c r="H455" s="218">
        <v>1</v>
      </c>
      <c r="I455" s="218">
        <v>0.08231699498870171</v>
      </c>
      <c r="J455" s="218">
        <v>0.14735386359018468</v>
      </c>
      <c r="K455" s="218">
        <v>0.7013544986253694</v>
      </c>
      <c r="L455" s="218">
        <v>0.0005009525384291559</v>
      </c>
      <c r="M455" s="218">
        <v>0.14735386359018465</v>
      </c>
      <c r="N455" s="218">
        <v>0.06693307600463683</v>
      </c>
    </row>
    <row r="456" spans="1:14" ht="14.25">
      <c r="A456" s="57" t="s">
        <v>64</v>
      </c>
      <c r="B456" s="81" t="s">
        <v>204</v>
      </c>
      <c r="C456" s="68">
        <v>0.6912202055222451</v>
      </c>
      <c r="D456" s="16"/>
      <c r="F456" s="218" t="s">
        <v>195</v>
      </c>
      <c r="G456" s="218">
        <v>4352.974208886882</v>
      </c>
      <c r="H456" s="218">
        <v>1</v>
      </c>
      <c r="I456" s="218">
        <v>4352.974208886882</v>
      </c>
      <c r="J456" s="218">
        <v>7792.164520533673</v>
      </c>
      <c r="K456" s="218">
        <v>1.2141806195366847E-213</v>
      </c>
      <c r="L456" s="218">
        <v>0.9636416005074558</v>
      </c>
      <c r="M456" s="218">
        <v>7792.164520533673</v>
      </c>
      <c r="N456" s="218">
        <v>1</v>
      </c>
    </row>
    <row r="457" spans="1:14" ht="14.25">
      <c r="A457" s="60" t="s">
        <v>65</v>
      </c>
      <c r="B457" s="51" t="s">
        <v>205</v>
      </c>
      <c r="C457" s="61">
        <v>0.7660423151631389</v>
      </c>
      <c r="D457" s="16"/>
      <c r="F457" s="218" t="s">
        <v>501</v>
      </c>
      <c r="G457" s="218">
        <v>0.08231699498822714</v>
      </c>
      <c r="H457" s="218">
        <v>1</v>
      </c>
      <c r="I457" s="218">
        <v>0.08231699498822714</v>
      </c>
      <c r="J457" s="218">
        <v>0.14735386358933517</v>
      </c>
      <c r="K457" s="218">
        <v>0.7013544986261887</v>
      </c>
      <c r="L457" s="218">
        <v>0.0005009525384262692</v>
      </c>
      <c r="M457" s="218">
        <v>0.14735386358933517</v>
      </c>
      <c r="N457" s="218">
        <v>0.06693307600453835</v>
      </c>
    </row>
    <row r="458" spans="1:14" ht="15" thickBot="1">
      <c r="A458" s="65" t="s">
        <v>66</v>
      </c>
      <c r="B458" s="66" t="s">
        <v>206</v>
      </c>
      <c r="C458" s="67">
        <f>((((C446-1)*(C456^2))+((C447-1)*(C457^2)))/(C446+C447-2))^0.5</f>
        <v>0.7472353889640606</v>
      </c>
      <c r="D458" s="16" t="s">
        <v>280</v>
      </c>
      <c r="F458" s="218" t="s">
        <v>197</v>
      </c>
      <c r="G458" s="218">
        <v>164.2386289509572</v>
      </c>
      <c r="H458" s="218">
        <v>294</v>
      </c>
      <c r="I458" s="218">
        <v>0.5586347923501945</v>
      </c>
      <c r="J458" s="218"/>
      <c r="K458" s="218"/>
      <c r="L458" s="218"/>
      <c r="M458" s="218"/>
      <c r="N458" s="218"/>
    </row>
    <row r="459" spans="1:14" ht="12.75">
      <c r="A459" s="16"/>
      <c r="B459" s="17"/>
      <c r="C459" s="17"/>
      <c r="D459" s="16"/>
      <c r="F459" s="218" t="s">
        <v>198</v>
      </c>
      <c r="G459" s="218">
        <v>5795</v>
      </c>
      <c r="H459" s="218">
        <v>296</v>
      </c>
      <c r="I459" s="218"/>
      <c r="J459" s="218"/>
      <c r="K459" s="218"/>
      <c r="L459" s="218"/>
      <c r="M459" s="218"/>
      <c r="N459" s="218"/>
    </row>
    <row r="460" spans="1:14" ht="13.5" thickBot="1">
      <c r="A460" s="16"/>
      <c r="B460" s="17"/>
      <c r="C460" s="17"/>
      <c r="D460" s="16"/>
      <c r="F460" s="218" t="s">
        <v>199</v>
      </c>
      <c r="G460" s="218">
        <v>164.3209459459459</v>
      </c>
      <c r="H460" s="218">
        <v>295</v>
      </c>
      <c r="I460" s="218"/>
      <c r="J460" s="218"/>
      <c r="K460" s="218"/>
      <c r="L460" s="218"/>
      <c r="M460" s="218"/>
      <c r="N460" s="218"/>
    </row>
    <row r="461" spans="1:14" ht="13.5" thickBot="1">
      <c r="A461" s="71" t="s">
        <v>67</v>
      </c>
      <c r="B461" s="17"/>
      <c r="C461" s="17"/>
      <c r="D461" s="16"/>
      <c r="F461" s="218" t="s">
        <v>185</v>
      </c>
      <c r="G461" s="218" t="s">
        <v>200</v>
      </c>
      <c r="H461" s="218"/>
      <c r="I461" s="218"/>
      <c r="J461" s="218"/>
      <c r="K461" s="218"/>
      <c r="L461" s="218"/>
      <c r="M461" s="218"/>
      <c r="N461" s="218"/>
    </row>
    <row r="462" spans="1:14" ht="12.75">
      <c r="A462" s="57" t="s">
        <v>68</v>
      </c>
      <c r="B462" s="58" t="s">
        <v>28</v>
      </c>
      <c r="C462" s="59">
        <f>(C463*(C465+C466))/((C464^0.5)*(C465*C466)^0.5)</f>
        <v>-0.4433273270343624</v>
      </c>
      <c r="D462" s="16" t="s">
        <v>69</v>
      </c>
      <c r="F462" s="218" t="s">
        <v>201</v>
      </c>
      <c r="G462" s="218" t="s">
        <v>505</v>
      </c>
      <c r="H462" s="218"/>
      <c r="I462" s="218"/>
      <c r="J462" s="218"/>
      <c r="K462" s="218"/>
      <c r="L462" s="218"/>
      <c r="M462" s="218"/>
      <c r="N462" s="218"/>
    </row>
    <row r="463" spans="1:4" ht="12.75">
      <c r="A463" s="60" t="s">
        <v>70</v>
      </c>
      <c r="B463" s="51" t="s">
        <v>71</v>
      </c>
      <c r="C463" s="61">
        <v>-2.51</v>
      </c>
      <c r="D463" s="16"/>
    </row>
    <row r="464" spans="1:4" ht="12.75">
      <c r="A464" s="60" t="s">
        <v>72</v>
      </c>
      <c r="B464" s="51" t="s">
        <v>73</v>
      </c>
      <c r="C464" s="61">
        <v>129</v>
      </c>
      <c r="D464" s="16"/>
    </row>
    <row r="465" spans="1:9" ht="12.75">
      <c r="A465" s="60" t="s">
        <v>40</v>
      </c>
      <c r="B465" s="50" t="s">
        <v>41</v>
      </c>
      <c r="C465" s="64">
        <v>104</v>
      </c>
      <c r="D465" s="16"/>
      <c r="F465" s="218" t="s">
        <v>180</v>
      </c>
      <c r="G465" s="218"/>
      <c r="H465" s="218"/>
      <c r="I465" s="218"/>
    </row>
    <row r="466" spans="1:9" ht="13.5" thickBot="1">
      <c r="A466" s="65" t="s">
        <v>42</v>
      </c>
      <c r="B466" s="66" t="s">
        <v>43</v>
      </c>
      <c r="C466" s="67">
        <v>89</v>
      </c>
      <c r="D466" s="16"/>
      <c r="F466" s="218" t="s">
        <v>504</v>
      </c>
      <c r="G466" s="218"/>
      <c r="H466" s="218"/>
      <c r="I466" s="218"/>
    </row>
    <row r="467" spans="1:9" ht="13.5" thickBot="1">
      <c r="A467" s="49"/>
      <c r="B467" s="50"/>
      <c r="C467" s="50"/>
      <c r="D467" s="16"/>
      <c r="F467" s="218" t="s">
        <v>173</v>
      </c>
      <c r="G467" s="218" t="s">
        <v>181</v>
      </c>
      <c r="H467" s="218" t="s">
        <v>182</v>
      </c>
      <c r="I467" s="218" t="s">
        <v>183</v>
      </c>
    </row>
    <row r="468" spans="1:9" ht="13.5" thickBot="1">
      <c r="A468" s="69" t="s">
        <v>76</v>
      </c>
      <c r="B468" s="17"/>
      <c r="C468" s="17"/>
      <c r="D468" s="16"/>
      <c r="F468" s="218">
        <v>0.8771765510259261</v>
      </c>
      <c r="G468" s="218">
        <v>1</v>
      </c>
      <c r="H468" s="218">
        <v>294</v>
      </c>
      <c r="I468" s="218">
        <v>0.3497448587012162</v>
      </c>
    </row>
    <row r="469" spans="1:9" ht="12.75">
      <c r="A469" s="57" t="s">
        <v>68</v>
      </c>
      <c r="B469" s="58" t="s">
        <v>28</v>
      </c>
      <c r="C469" s="59">
        <f>C415</f>
        <v>0.05087047087947113</v>
      </c>
      <c r="D469" s="16"/>
      <c r="F469" s="218" t="s">
        <v>184</v>
      </c>
      <c r="G469" s="218"/>
      <c r="H469" s="218"/>
      <c r="I469" s="218"/>
    </row>
    <row r="470" spans="1:9" ht="12.75">
      <c r="A470" s="60" t="s">
        <v>74</v>
      </c>
      <c r="B470" s="50" t="s">
        <v>75</v>
      </c>
      <c r="C470" s="64">
        <f>C469/(C471/C472)^0.5</f>
        <v>0.02119757100648202</v>
      </c>
      <c r="D470" s="16" t="s">
        <v>212</v>
      </c>
      <c r="F470" s="218" t="s">
        <v>185</v>
      </c>
      <c r="G470" s="218" t="s">
        <v>502</v>
      </c>
      <c r="H470" s="218"/>
      <c r="I470" s="218"/>
    </row>
    <row r="471" spans="1:4" ht="12.75">
      <c r="A471" s="60" t="s">
        <v>2</v>
      </c>
      <c r="B471" s="50" t="s">
        <v>2</v>
      </c>
      <c r="C471" s="64">
        <f>C423</f>
        <v>1100</v>
      </c>
      <c r="D471" s="16"/>
    </row>
    <row r="472" spans="1:4" ht="13.5" thickBot="1">
      <c r="A472" s="65" t="s">
        <v>72</v>
      </c>
      <c r="B472" s="72" t="s">
        <v>73</v>
      </c>
      <c r="C472" s="73">
        <v>191</v>
      </c>
      <c r="D472" s="16" t="s">
        <v>213</v>
      </c>
    </row>
    <row r="473" spans="1:4" ht="12.75">
      <c r="A473" s="74" t="s">
        <v>214</v>
      </c>
      <c r="B473" s="75"/>
      <c r="C473" s="76"/>
      <c r="D473" s="16"/>
    </row>
    <row r="474" spans="1:4" ht="12.75">
      <c r="A474" s="60" t="s">
        <v>74</v>
      </c>
      <c r="B474" s="50" t="s">
        <v>75</v>
      </c>
      <c r="C474" s="64">
        <f>C477*((C475+C476)^0.5)/(C475*C476)^0.5</f>
        <v>-0.3309653950629712</v>
      </c>
      <c r="D474" s="16" t="s">
        <v>211</v>
      </c>
    </row>
    <row r="475" spans="1:4" ht="12.75">
      <c r="A475" s="60" t="s">
        <v>40</v>
      </c>
      <c r="B475" s="50" t="s">
        <v>41</v>
      </c>
      <c r="C475" s="64">
        <f>C446</f>
        <v>78</v>
      </c>
      <c r="D475" s="16"/>
    </row>
    <row r="476" spans="1:4" ht="12.75">
      <c r="A476" s="60" t="s">
        <v>42</v>
      </c>
      <c r="B476" s="50" t="s">
        <v>43</v>
      </c>
      <c r="C476" s="64">
        <f>C447</f>
        <v>219</v>
      </c>
      <c r="D476" s="16"/>
    </row>
    <row r="477" spans="1:4" ht="13.5" thickBot="1">
      <c r="A477" s="65" t="s">
        <v>70</v>
      </c>
      <c r="B477" s="66" t="s">
        <v>71</v>
      </c>
      <c r="C477" s="67">
        <f>C463</f>
        <v>-2.51</v>
      </c>
      <c r="D477" s="16"/>
    </row>
    <row r="478" spans="1:4" ht="12.75">
      <c r="A478" s="74" t="s">
        <v>214</v>
      </c>
      <c r="B478" s="75"/>
      <c r="C478" s="76"/>
      <c r="D478" s="16"/>
    </row>
    <row r="479" spans="1:4" ht="12.75">
      <c r="A479" s="60" t="s">
        <v>74</v>
      </c>
      <c r="B479" s="50" t="s">
        <v>75</v>
      </c>
      <c r="C479" s="64">
        <f>(C480-C481)/(C482^0.5)</f>
        <v>0.06597116411891178</v>
      </c>
      <c r="D479" s="16" t="s">
        <v>212</v>
      </c>
    </row>
    <row r="480" spans="1:4" ht="12.75">
      <c r="A480" s="60" t="s">
        <v>29</v>
      </c>
      <c r="B480" s="62" t="s">
        <v>30</v>
      </c>
      <c r="C480" s="64">
        <f>C416</f>
        <v>4.389610389610388</v>
      </c>
      <c r="D480" s="16"/>
    </row>
    <row r="481" spans="1:4" ht="12.75">
      <c r="A481" s="60" t="s">
        <v>31</v>
      </c>
      <c r="B481" s="62" t="s">
        <v>32</v>
      </c>
      <c r="C481" s="64">
        <f>C417</f>
        <v>4.351598173515981</v>
      </c>
      <c r="D481" s="16"/>
    </row>
    <row r="482" spans="1:4" ht="15" thickBot="1">
      <c r="A482" s="65" t="s">
        <v>215</v>
      </c>
      <c r="B482" s="77" t="s">
        <v>216</v>
      </c>
      <c r="C482" s="73">
        <v>0.332</v>
      </c>
      <c r="D482" s="16"/>
    </row>
    <row r="483" spans="1:4" ht="13.5" thickBot="1">
      <c r="A483" s="16"/>
      <c r="B483" s="17"/>
      <c r="C483" s="17"/>
      <c r="D483" s="16"/>
    </row>
    <row r="484" spans="1:4" ht="13.5" thickBot="1">
      <c r="A484" s="69" t="s">
        <v>77</v>
      </c>
      <c r="B484" s="17"/>
      <c r="C484" s="17"/>
      <c r="D484" s="16"/>
    </row>
    <row r="485" spans="1:4" ht="12.75">
      <c r="A485" s="36" t="s">
        <v>77</v>
      </c>
      <c r="B485" s="58" t="s">
        <v>78</v>
      </c>
      <c r="C485" s="59">
        <f>(C486-C487)/C488</f>
        <v>0.6022771311117178</v>
      </c>
      <c r="D485" s="16"/>
    </row>
    <row r="486" spans="1:4" ht="12.75">
      <c r="A486" s="60" t="s">
        <v>29</v>
      </c>
      <c r="B486" s="62" t="s">
        <v>30</v>
      </c>
      <c r="C486" s="63">
        <f>C435</f>
        <v>3.6341463414634148</v>
      </c>
      <c r="D486" s="16"/>
    </row>
    <row r="487" spans="1:4" ht="12.75">
      <c r="A487" s="60" t="s">
        <v>31</v>
      </c>
      <c r="B487" s="62" t="s">
        <v>32</v>
      </c>
      <c r="C487" s="63">
        <f>C436</f>
        <v>3.0677966101694927</v>
      </c>
      <c r="D487" s="16"/>
    </row>
    <row r="488" spans="1:4" ht="15" thickBot="1">
      <c r="A488" s="40" t="s">
        <v>79</v>
      </c>
      <c r="B488" s="66" t="s">
        <v>205</v>
      </c>
      <c r="C488" s="67">
        <f>C440</f>
        <v>0.9403473949750029</v>
      </c>
      <c r="D488" s="16"/>
    </row>
    <row r="489" spans="1:4" ht="13.5" thickBot="1">
      <c r="A489" s="16"/>
      <c r="B489" s="17"/>
      <c r="C489" s="17"/>
      <c r="D489" s="16"/>
    </row>
    <row r="490" spans="1:4" ht="13.5" thickBot="1">
      <c r="A490" s="80" t="s">
        <v>80</v>
      </c>
      <c r="B490" s="78"/>
      <c r="C490" s="79" t="s">
        <v>81</v>
      </c>
      <c r="D490" s="16"/>
    </row>
    <row r="491" spans="1:4" ht="13.5" thickBot="1">
      <c r="A491" s="16"/>
      <c r="B491" s="17"/>
      <c r="C491" s="17"/>
      <c r="D491" s="16"/>
    </row>
    <row r="492" spans="1:4" ht="13.5" thickBot="1">
      <c r="A492" s="84" t="s">
        <v>84</v>
      </c>
      <c r="B492" s="17"/>
      <c r="C492" s="17"/>
      <c r="D492" s="16"/>
    </row>
    <row r="493" spans="1:4" ht="12.75">
      <c r="A493" s="57" t="s">
        <v>84</v>
      </c>
      <c r="B493" s="58" t="s">
        <v>85</v>
      </c>
      <c r="C493" s="59">
        <f>(2*C494)-C495</f>
        <v>0.10174094175894226</v>
      </c>
      <c r="D493" s="16" t="s">
        <v>86</v>
      </c>
    </row>
    <row r="494" spans="1:4" ht="12.75">
      <c r="A494" s="60" t="s">
        <v>87</v>
      </c>
      <c r="B494" s="50" t="s">
        <v>88</v>
      </c>
      <c r="C494" s="64">
        <f>C415</f>
        <v>0.05087047087947113</v>
      </c>
      <c r="D494" s="16"/>
    </row>
    <row r="495" spans="1:4" ht="12.75">
      <c r="A495" s="60" t="s">
        <v>89</v>
      </c>
      <c r="B495" s="51" t="s">
        <v>90</v>
      </c>
      <c r="C495" s="82">
        <v>0</v>
      </c>
      <c r="D495" s="16"/>
    </row>
    <row r="496" spans="1:4" ht="14.25">
      <c r="A496" s="60" t="s">
        <v>91</v>
      </c>
      <c r="B496" s="83" t="s">
        <v>217</v>
      </c>
      <c r="C496" s="64">
        <f>((4*C424)/(1+3*C424))^0.5</f>
        <v>0.035064247998075906</v>
      </c>
      <c r="D496" s="16" t="s">
        <v>92</v>
      </c>
    </row>
    <row r="497" spans="1:4" ht="13.5" thickBot="1">
      <c r="A497" s="65" t="s">
        <v>93</v>
      </c>
      <c r="B497" s="66" t="s">
        <v>94</v>
      </c>
      <c r="C497" s="67"/>
      <c r="D497" s="16"/>
    </row>
    <row r="498" spans="1:4" ht="13.5" thickBot="1">
      <c r="A498" s="16"/>
      <c r="B498" s="17"/>
      <c r="C498" s="17"/>
      <c r="D498" s="16"/>
    </row>
    <row r="499" spans="1:4" ht="13.5" thickBot="1">
      <c r="A499" s="94" t="s">
        <v>95</v>
      </c>
      <c r="B499" s="17"/>
      <c r="C499" s="17"/>
      <c r="D499" s="16"/>
    </row>
    <row r="500" spans="1:4" ht="12.75">
      <c r="A500" s="88" t="s">
        <v>96</v>
      </c>
      <c r="B500" s="89" t="s">
        <v>97</v>
      </c>
      <c r="C500" s="90">
        <f>((C501-C502)/C501)*C503/C502</f>
        <v>0.0009876170556638306</v>
      </c>
      <c r="D500" s="16"/>
    </row>
    <row r="501" spans="1:4" ht="12.75">
      <c r="A501" s="91" t="s">
        <v>98</v>
      </c>
      <c r="B501" s="85" t="s">
        <v>2</v>
      </c>
      <c r="C501" s="87">
        <v>436</v>
      </c>
      <c r="D501" s="16"/>
    </row>
    <row r="502" spans="1:4" ht="12.75">
      <c r="A502" s="91" t="s">
        <v>99</v>
      </c>
      <c r="B502" s="85" t="s">
        <v>100</v>
      </c>
      <c r="C502" s="87">
        <v>193</v>
      </c>
      <c r="D502" s="16"/>
    </row>
    <row r="503" spans="1:4" ht="15.75">
      <c r="A503" s="91" t="s">
        <v>101</v>
      </c>
      <c r="B503" s="85" t="s">
        <v>219</v>
      </c>
      <c r="C503" s="87">
        <v>0.342</v>
      </c>
      <c r="D503" s="16"/>
    </row>
    <row r="504" spans="1:4" ht="12.75">
      <c r="A504" s="91" t="s">
        <v>102</v>
      </c>
      <c r="B504" s="92" t="s">
        <v>103</v>
      </c>
      <c r="C504" s="93">
        <f>C500^0.5</f>
        <v>0.031426375159471234</v>
      </c>
      <c r="D504" s="16"/>
    </row>
    <row r="505" spans="1:4" ht="12.75">
      <c r="A505" s="91" t="s">
        <v>104</v>
      </c>
      <c r="B505" s="92" t="s">
        <v>105</v>
      </c>
      <c r="C505" s="93">
        <f>((C501-C502)/(C501-1))^0.5</f>
        <v>0.7474093186836597</v>
      </c>
      <c r="D505" s="16"/>
    </row>
    <row r="506" spans="1:4" ht="12.75">
      <c r="A506" s="91" t="s">
        <v>59</v>
      </c>
      <c r="B506" s="92" t="s">
        <v>60</v>
      </c>
      <c r="C506" s="93">
        <f>1-C507</f>
        <v>0.95</v>
      </c>
      <c r="D506" s="16"/>
    </row>
    <row r="507" spans="1:4" ht="12.75">
      <c r="A507" s="91" t="s">
        <v>61</v>
      </c>
      <c r="B507" s="85" t="s">
        <v>61</v>
      </c>
      <c r="C507" s="87">
        <v>0.05</v>
      </c>
      <c r="D507" s="16"/>
    </row>
    <row r="508" spans="1:4" ht="12.75">
      <c r="A508" s="91" t="s">
        <v>62</v>
      </c>
      <c r="B508" s="92" t="s">
        <v>83</v>
      </c>
      <c r="C508" s="93">
        <f>1-(C507/2)</f>
        <v>0.975</v>
      </c>
      <c r="D508" s="16"/>
    </row>
    <row r="509" spans="1:4" ht="12.75">
      <c r="A509" s="91" t="s">
        <v>63</v>
      </c>
      <c r="B509" s="92" t="s">
        <v>56</v>
      </c>
      <c r="C509" s="93">
        <f>NORMSINV(C508)</f>
        <v>1.959963984540054</v>
      </c>
      <c r="D509" s="16"/>
    </row>
    <row r="510" spans="1:4" ht="12.75">
      <c r="A510" s="91" t="s">
        <v>106</v>
      </c>
      <c r="B510" s="85" t="s">
        <v>13</v>
      </c>
      <c r="C510" s="87">
        <v>4.617</v>
      </c>
      <c r="D510" s="16"/>
    </row>
    <row r="511" spans="1:4" ht="12.75">
      <c r="A511" s="91" t="s">
        <v>107</v>
      </c>
      <c r="B511" s="92" t="s">
        <v>108</v>
      </c>
      <c r="C511" s="93">
        <f>C510-(C509*C504)</f>
        <v>4.5554054365227925</v>
      </c>
      <c r="D511" s="16"/>
    </row>
    <row r="512" spans="1:4" ht="12.75">
      <c r="A512" s="91" t="s">
        <v>109</v>
      </c>
      <c r="B512" s="92" t="s">
        <v>110</v>
      </c>
      <c r="C512" s="93">
        <f>C510+C509*C504</f>
        <v>4.6785945634772075</v>
      </c>
      <c r="D512" s="16"/>
    </row>
    <row r="513" spans="1:4" ht="12.75">
      <c r="A513" s="91" t="s">
        <v>229</v>
      </c>
      <c r="B513" s="50" t="s">
        <v>230</v>
      </c>
      <c r="C513" s="120">
        <f>C512-C511</f>
        <v>0.12318912695441497</v>
      </c>
      <c r="D513" s="16"/>
    </row>
    <row r="514" spans="1:4" ht="12.75">
      <c r="A514" s="91" t="s">
        <v>231</v>
      </c>
      <c r="B514" s="50" t="s">
        <v>232</v>
      </c>
      <c r="C514" s="93">
        <f>C513/C510</f>
        <v>0.026681638933163304</v>
      </c>
      <c r="D514" s="16"/>
    </row>
    <row r="515" spans="1:4" ht="12.75">
      <c r="A515" s="91" t="s">
        <v>233</v>
      </c>
      <c r="B515" s="50" t="s">
        <v>234</v>
      </c>
      <c r="C515" s="93">
        <f>C514*100</f>
        <v>2.6681638933163305</v>
      </c>
      <c r="D515" s="16"/>
    </row>
    <row r="516" spans="1:4" ht="12.75">
      <c r="A516" s="91" t="s">
        <v>260</v>
      </c>
      <c r="B516" s="92" t="s">
        <v>236</v>
      </c>
      <c r="C516" s="120">
        <f>C509*C504</f>
        <v>0.06159456347720782</v>
      </c>
      <c r="D516" s="16" t="s">
        <v>251</v>
      </c>
    </row>
    <row r="517" spans="1:4" ht="12.75">
      <c r="A517" s="91" t="s">
        <v>261</v>
      </c>
      <c r="B517" s="92" t="s">
        <v>237</v>
      </c>
      <c r="C517" s="121">
        <f>C516/C510</f>
        <v>0.013340819466581723</v>
      </c>
      <c r="D517" s="16"/>
    </row>
    <row r="518" spans="1:4" ht="12.75">
      <c r="A518" s="91" t="s">
        <v>248</v>
      </c>
      <c r="B518" s="92" t="s">
        <v>239</v>
      </c>
      <c r="C518" s="121">
        <f>C517*100</f>
        <v>1.3340819466581724</v>
      </c>
      <c r="D518" s="16"/>
    </row>
    <row r="519" spans="1:4" ht="12.75">
      <c r="A519" s="91" t="s">
        <v>240</v>
      </c>
      <c r="B519" s="85" t="s">
        <v>241</v>
      </c>
      <c r="C519" s="87">
        <v>5</v>
      </c>
      <c r="D519" s="16"/>
    </row>
    <row r="520" spans="1:4" ht="12.75">
      <c r="A520" s="91" t="s">
        <v>244</v>
      </c>
      <c r="B520" s="92" t="s">
        <v>246</v>
      </c>
      <c r="C520" s="121">
        <f>C516/C519</f>
        <v>0.012318912695441563</v>
      </c>
      <c r="D520" s="16"/>
    </row>
    <row r="521" spans="1:4" ht="12.75">
      <c r="A521" s="91" t="s">
        <v>245</v>
      </c>
      <c r="B521" s="92" t="s">
        <v>247</v>
      </c>
      <c r="C521" s="121">
        <f>C520*100</f>
        <v>1.2318912695441564</v>
      </c>
      <c r="D521" s="16"/>
    </row>
    <row r="522" spans="1:4" ht="13.5" thickBot="1">
      <c r="A522" s="91" t="s">
        <v>242</v>
      </c>
      <c r="B522" s="92" t="s">
        <v>243</v>
      </c>
      <c r="C522" s="121">
        <f>100-C521</f>
        <v>98.76810873045585</v>
      </c>
      <c r="D522" s="16"/>
    </row>
    <row r="523" spans="1:4" ht="13.5" thickBot="1">
      <c r="A523" s="108" t="s">
        <v>220</v>
      </c>
      <c r="B523" s="92"/>
      <c r="C523" s="93"/>
      <c r="D523" s="16"/>
    </row>
    <row r="524" spans="1:4" ht="12.75">
      <c r="A524" s="88" t="s">
        <v>96</v>
      </c>
      <c r="B524" s="89" t="s">
        <v>97</v>
      </c>
      <c r="C524" s="90">
        <f>C527/C526</f>
        <v>0.0017772020725388602</v>
      </c>
      <c r="D524" s="16"/>
    </row>
    <row r="525" spans="1:4" ht="12.75">
      <c r="A525" s="91" t="s">
        <v>98</v>
      </c>
      <c r="B525" s="85" t="s">
        <v>2</v>
      </c>
      <c r="C525" s="87">
        <f>436</f>
        <v>436</v>
      </c>
      <c r="D525" s="16"/>
    </row>
    <row r="526" spans="1:4" ht="12.75">
      <c r="A526" s="91" t="s">
        <v>99</v>
      </c>
      <c r="B526" s="85" t="s">
        <v>100</v>
      </c>
      <c r="C526" s="87">
        <v>193</v>
      </c>
      <c r="D526" s="16"/>
    </row>
    <row r="527" spans="1:4" ht="15.75">
      <c r="A527" s="91" t="s">
        <v>101</v>
      </c>
      <c r="B527" s="85" t="s">
        <v>219</v>
      </c>
      <c r="C527" s="87">
        <v>0.343</v>
      </c>
      <c r="D527" s="16"/>
    </row>
    <row r="528" spans="1:4" ht="12.75">
      <c r="A528" s="91" t="s">
        <v>102</v>
      </c>
      <c r="B528" s="92" t="s">
        <v>103</v>
      </c>
      <c r="C528" s="93">
        <f>C524^0.5</f>
        <v>0.04215687455847338</v>
      </c>
      <c r="D528" s="16"/>
    </row>
    <row r="529" spans="1:4" ht="12.75">
      <c r="A529" s="91" t="s">
        <v>59</v>
      </c>
      <c r="B529" s="92" t="s">
        <v>60</v>
      </c>
      <c r="C529" s="93">
        <f>1-C530</f>
        <v>0.95</v>
      </c>
      <c r="D529" s="16"/>
    </row>
    <row r="530" spans="1:4" ht="12.75">
      <c r="A530" s="91" t="s">
        <v>61</v>
      </c>
      <c r="B530" s="85" t="s">
        <v>61</v>
      </c>
      <c r="C530" s="86">
        <v>0.05</v>
      </c>
      <c r="D530" s="16"/>
    </row>
    <row r="531" spans="1:4" ht="12.75">
      <c r="A531" s="91" t="s">
        <v>62</v>
      </c>
      <c r="B531" s="92" t="s">
        <v>83</v>
      </c>
      <c r="C531" s="93">
        <f>1-(C530/2)</f>
        <v>0.975</v>
      </c>
      <c r="D531" s="16"/>
    </row>
    <row r="532" spans="1:4" ht="12.75">
      <c r="A532" s="91" t="s">
        <v>63</v>
      </c>
      <c r="B532" s="92" t="s">
        <v>56</v>
      </c>
      <c r="C532" s="93">
        <f>NORMSINV(C531)</f>
        <v>1.959963984540054</v>
      </c>
      <c r="D532" s="16"/>
    </row>
    <row r="533" spans="1:4" ht="12.75">
      <c r="A533" s="91" t="s">
        <v>106</v>
      </c>
      <c r="B533" s="85" t="s">
        <v>13</v>
      </c>
      <c r="C533" s="86">
        <v>4.617</v>
      </c>
      <c r="D533" s="16"/>
    </row>
    <row r="534" spans="1:4" ht="12.75">
      <c r="A534" s="91" t="s">
        <v>107</v>
      </c>
      <c r="B534" s="92" t="s">
        <v>108</v>
      </c>
      <c r="C534" s="93">
        <f>C533-(C532*C528)</f>
        <v>4.534374044164619</v>
      </c>
      <c r="D534" s="16"/>
    </row>
    <row r="535" spans="1:4" ht="12.75">
      <c r="A535" s="91" t="s">
        <v>109</v>
      </c>
      <c r="B535" s="92" t="s">
        <v>110</v>
      </c>
      <c r="C535" s="93">
        <f>C533+C532*C528</f>
        <v>4.699625955835381</v>
      </c>
      <c r="D535" s="16"/>
    </row>
    <row r="536" spans="1:4" ht="12.75">
      <c r="A536" s="91" t="s">
        <v>229</v>
      </c>
      <c r="B536" s="50" t="s">
        <v>230</v>
      </c>
      <c r="C536" s="120">
        <f>C535-C534</f>
        <v>0.1652519116707616</v>
      </c>
      <c r="D536" s="16"/>
    </row>
    <row r="537" spans="1:4" ht="12.75">
      <c r="A537" s="91" t="s">
        <v>231</v>
      </c>
      <c r="B537" s="50" t="s">
        <v>232</v>
      </c>
      <c r="C537" s="93">
        <f>C536/C534</f>
        <v>0.03644426111767902</v>
      </c>
      <c r="D537" s="16"/>
    </row>
    <row r="538" spans="1:4" ht="12.75">
      <c r="A538" s="91" t="s">
        <v>233</v>
      </c>
      <c r="B538" s="50" t="s">
        <v>234</v>
      </c>
      <c r="C538" s="93">
        <f>C537*100</f>
        <v>3.6444261117679018</v>
      </c>
      <c r="D538" s="16"/>
    </row>
    <row r="539" spans="1:4" ht="12.75">
      <c r="A539" s="91" t="s">
        <v>235</v>
      </c>
      <c r="B539" s="92" t="s">
        <v>236</v>
      </c>
      <c r="C539" s="120">
        <f>C532*C528</f>
        <v>0.08262595583538072</v>
      </c>
      <c r="D539" s="16"/>
    </row>
    <row r="540" spans="1:4" ht="12.75">
      <c r="A540" s="91" t="s">
        <v>222</v>
      </c>
      <c r="B540" s="92" t="s">
        <v>237</v>
      </c>
      <c r="C540" s="121">
        <f>C539/C533</f>
        <v>0.017896026821611594</v>
      </c>
      <c r="D540" s="16"/>
    </row>
    <row r="541" spans="1:4" ht="12.75">
      <c r="A541" s="91" t="s">
        <v>238</v>
      </c>
      <c r="B541" s="92" t="s">
        <v>239</v>
      </c>
      <c r="C541" s="121">
        <f>C540*100</f>
        <v>1.7896026821611595</v>
      </c>
      <c r="D541" s="16"/>
    </row>
    <row r="542" spans="1:4" ht="12.75">
      <c r="A542" s="91" t="s">
        <v>240</v>
      </c>
      <c r="B542" s="85" t="s">
        <v>241</v>
      </c>
      <c r="C542" s="86">
        <v>5</v>
      </c>
      <c r="D542" s="16"/>
    </row>
    <row r="543" spans="1:4" ht="12.75">
      <c r="A543" s="91" t="s">
        <v>244</v>
      </c>
      <c r="B543" s="92" t="s">
        <v>246</v>
      </c>
      <c r="C543" s="121">
        <f>C539/C542</f>
        <v>0.016525191167076146</v>
      </c>
      <c r="D543" s="16"/>
    </row>
    <row r="544" spans="1:4" ht="12.75">
      <c r="A544" s="91" t="s">
        <v>245</v>
      </c>
      <c r="B544" s="92" t="s">
        <v>247</v>
      </c>
      <c r="C544" s="121">
        <f>C543*100</f>
        <v>1.6525191167076145</v>
      </c>
      <c r="D544" s="16"/>
    </row>
    <row r="545" spans="1:4" ht="13.5" thickBot="1">
      <c r="A545" s="91" t="s">
        <v>242</v>
      </c>
      <c r="B545" s="92" t="s">
        <v>243</v>
      </c>
      <c r="C545" s="121">
        <f>100-C544</f>
        <v>98.34748088329239</v>
      </c>
      <c r="D545" s="16"/>
    </row>
    <row r="546" spans="1:4" ht="13.5" thickBot="1">
      <c r="A546" s="110" t="s">
        <v>223</v>
      </c>
      <c r="B546" s="25"/>
      <c r="C546" s="25"/>
      <c r="D546" s="16"/>
    </row>
    <row r="547" spans="1:4" ht="12.75">
      <c r="A547" s="112" t="s">
        <v>98</v>
      </c>
      <c r="B547" s="113" t="s">
        <v>2</v>
      </c>
      <c r="C547" s="122">
        <f>436</f>
        <v>436</v>
      </c>
      <c r="D547" s="16"/>
    </row>
    <row r="548" spans="1:4" ht="12.75">
      <c r="A548" s="114" t="s">
        <v>99</v>
      </c>
      <c r="B548" s="115" t="s">
        <v>100</v>
      </c>
      <c r="C548" s="123">
        <f>C552^2*C547*C553/((C552^2*C553)+((C547-1)*C555^2))</f>
        <v>193.54222666231416</v>
      </c>
      <c r="D548" s="16"/>
    </row>
    <row r="549" spans="1:4" ht="12.75">
      <c r="A549" s="114" t="s">
        <v>59</v>
      </c>
      <c r="B549" s="116" t="s">
        <v>60</v>
      </c>
      <c r="C549" s="123">
        <f>1-C550</f>
        <v>0.95</v>
      </c>
      <c r="D549" s="16"/>
    </row>
    <row r="550" spans="1:4" ht="12.75">
      <c r="A550" s="114" t="s">
        <v>61</v>
      </c>
      <c r="B550" s="117" t="s">
        <v>61</v>
      </c>
      <c r="C550" s="124">
        <v>0.05</v>
      </c>
      <c r="D550" s="16"/>
    </row>
    <row r="551" spans="1:4" ht="12.75">
      <c r="A551" s="114" t="s">
        <v>62</v>
      </c>
      <c r="B551" s="116" t="s">
        <v>83</v>
      </c>
      <c r="C551" s="123">
        <f>1-C550/2</f>
        <v>0.975</v>
      </c>
      <c r="D551" s="16"/>
    </row>
    <row r="552" spans="1:4" ht="12.75">
      <c r="A552" s="114" t="s">
        <v>63</v>
      </c>
      <c r="B552" s="116" t="s">
        <v>56</v>
      </c>
      <c r="C552" s="123">
        <f>NORMSINV(C551)</f>
        <v>1.959963984540054</v>
      </c>
      <c r="D552" s="16"/>
    </row>
    <row r="553" spans="1:4" ht="12.75">
      <c r="A553" s="114" t="s">
        <v>259</v>
      </c>
      <c r="B553" s="117" t="s">
        <v>221</v>
      </c>
      <c r="C553" s="124">
        <v>0.343</v>
      </c>
      <c r="D553" s="16"/>
    </row>
    <row r="554" spans="1:4" ht="12.75">
      <c r="A554" s="114" t="s">
        <v>104</v>
      </c>
      <c r="B554" s="116" t="s">
        <v>105</v>
      </c>
      <c r="C554" s="123">
        <f>((C547-C548)/(C547-1))^0.5</f>
        <v>0.7465749738511779</v>
      </c>
      <c r="D554" s="16"/>
    </row>
    <row r="555" spans="1:4" ht="12.75">
      <c r="A555" s="114" t="s">
        <v>235</v>
      </c>
      <c r="B555" s="115" t="s">
        <v>228</v>
      </c>
      <c r="C555" s="125">
        <f>C557*C556</f>
        <v>0.06159999999999996</v>
      </c>
      <c r="D555" s="16"/>
    </row>
    <row r="556" spans="1:4" ht="12.75">
      <c r="A556" s="114" t="s">
        <v>240</v>
      </c>
      <c r="B556" s="117" t="s">
        <v>241</v>
      </c>
      <c r="C556" s="124">
        <v>5</v>
      </c>
      <c r="D556" s="16"/>
    </row>
    <row r="557" spans="1:4" ht="13.5" thickBot="1">
      <c r="A557" s="114" t="s">
        <v>244</v>
      </c>
      <c r="B557" s="116" t="s">
        <v>246</v>
      </c>
      <c r="C557" s="126">
        <f>C558/100</f>
        <v>0.012319999999999992</v>
      </c>
      <c r="D557" s="16"/>
    </row>
    <row r="558" spans="1:4" ht="13.5" thickBot="1">
      <c r="A558" s="114" t="s">
        <v>245</v>
      </c>
      <c r="B558" s="115" t="s">
        <v>247</v>
      </c>
      <c r="C558" s="126">
        <f>100-C559</f>
        <v>1.2319999999999993</v>
      </c>
      <c r="D558" s="16"/>
    </row>
    <row r="559" spans="1:4" ht="13.5" thickBot="1">
      <c r="A559" s="114" t="s">
        <v>242</v>
      </c>
      <c r="B559" s="117" t="s">
        <v>243</v>
      </c>
      <c r="C559" s="124">
        <v>98.768</v>
      </c>
      <c r="D559" s="16"/>
    </row>
    <row r="560" spans="1:4" ht="13.5" thickBot="1">
      <c r="A560" s="110" t="s">
        <v>252</v>
      </c>
      <c r="B560" s="115"/>
      <c r="C560" s="132"/>
      <c r="D560" s="16"/>
    </row>
    <row r="561" spans="1:4" ht="12.75">
      <c r="A561" s="112" t="s">
        <v>98</v>
      </c>
      <c r="B561" s="113" t="s">
        <v>2</v>
      </c>
      <c r="C561" s="122">
        <f>436</f>
        <v>436</v>
      </c>
      <c r="D561" s="16"/>
    </row>
    <row r="562" spans="1:4" ht="12.75">
      <c r="A562" s="114" t="s">
        <v>99</v>
      </c>
      <c r="B562" s="115" t="s">
        <v>100</v>
      </c>
      <c r="C562" s="123">
        <f>C566^2*C561*C567/((C566^2*C567)+((C561-1)*C569^2))</f>
        <v>393.7070745665435</v>
      </c>
      <c r="D562" s="16"/>
    </row>
    <row r="563" spans="1:4" ht="12.75">
      <c r="A563" s="114" t="s">
        <v>59</v>
      </c>
      <c r="B563" s="116" t="s">
        <v>60</v>
      </c>
      <c r="C563" s="123">
        <f>1-C564</f>
        <v>0.95</v>
      </c>
      <c r="D563" s="16"/>
    </row>
    <row r="564" spans="1:4" ht="12.75">
      <c r="A564" s="114" t="s">
        <v>61</v>
      </c>
      <c r="B564" s="117" t="s">
        <v>61</v>
      </c>
      <c r="C564" s="124">
        <v>0.05</v>
      </c>
      <c r="D564" s="16"/>
    </row>
    <row r="565" spans="1:4" ht="12.75">
      <c r="A565" s="114" t="s">
        <v>62</v>
      </c>
      <c r="B565" s="116" t="s">
        <v>83</v>
      </c>
      <c r="C565" s="123">
        <f>1-C564/2</f>
        <v>0.975</v>
      </c>
      <c r="D565" s="16"/>
    </row>
    <row r="566" spans="1:4" ht="12.75">
      <c r="A566" s="114" t="s">
        <v>63</v>
      </c>
      <c r="B566" s="116" t="s">
        <v>56</v>
      </c>
      <c r="C566" s="123">
        <f>NORMSINV(C565)</f>
        <v>1.959963984540054</v>
      </c>
      <c r="D566" s="16"/>
    </row>
    <row r="567" spans="1:4" ht="12.75">
      <c r="A567" s="114" t="s">
        <v>257</v>
      </c>
      <c r="B567" s="117" t="s">
        <v>221</v>
      </c>
      <c r="C567" s="124">
        <v>4</v>
      </c>
      <c r="D567" s="16" t="s">
        <v>258</v>
      </c>
    </row>
    <row r="568" spans="1:4" ht="12.75">
      <c r="A568" s="114" t="s">
        <v>104</v>
      </c>
      <c r="B568" s="116" t="s">
        <v>105</v>
      </c>
      <c r="C568" s="123">
        <f>((C561-C562)/(C561-1))^0.5</f>
        <v>0.3118094224666414</v>
      </c>
      <c r="D568" s="16"/>
    </row>
    <row r="569" spans="1:4" ht="12.75">
      <c r="A569" s="114" t="s">
        <v>235</v>
      </c>
      <c r="B569" s="115" t="s">
        <v>228</v>
      </c>
      <c r="C569" s="125">
        <f>C571*C570</f>
        <v>0.06159999999999996</v>
      </c>
      <c r="D569" s="16"/>
    </row>
    <row r="570" spans="1:4" ht="12.75">
      <c r="A570" s="114" t="s">
        <v>240</v>
      </c>
      <c r="B570" s="117" t="s">
        <v>241</v>
      </c>
      <c r="C570" s="124">
        <v>5</v>
      </c>
      <c r="D570" s="16"/>
    </row>
    <row r="571" spans="1:4" ht="13.5" thickBot="1">
      <c r="A571" s="114" t="s">
        <v>244</v>
      </c>
      <c r="B571" s="116" t="s">
        <v>246</v>
      </c>
      <c r="C571" s="126">
        <f>C572/100</f>
        <v>0.012319999999999992</v>
      </c>
      <c r="D571" s="16"/>
    </row>
    <row r="572" spans="1:4" ht="13.5" thickBot="1">
      <c r="A572" s="114" t="s">
        <v>245</v>
      </c>
      <c r="B572" s="115" t="s">
        <v>247</v>
      </c>
      <c r="C572" s="126">
        <f>100-C573</f>
        <v>1.2319999999999993</v>
      </c>
      <c r="D572" s="16"/>
    </row>
    <row r="573" spans="1:4" ht="13.5" thickBot="1">
      <c r="A573" s="118" t="s">
        <v>242</v>
      </c>
      <c r="B573" s="119" t="s">
        <v>243</v>
      </c>
      <c r="C573" s="127">
        <v>98.768</v>
      </c>
      <c r="D573" s="16"/>
    </row>
    <row r="574" spans="1:4" ht="12.75">
      <c r="A574" s="131"/>
      <c r="B574" s="115"/>
      <c r="C574" s="132"/>
      <c r="D574" s="16"/>
    </row>
    <row r="575" spans="1:4" ht="13.5" thickBot="1">
      <c r="A575" s="111" t="s">
        <v>249</v>
      </c>
      <c r="B575" s="25"/>
      <c r="C575" s="25"/>
      <c r="D575" s="16"/>
    </row>
    <row r="576" spans="1:4" ht="12.75">
      <c r="A576" s="96" t="s">
        <v>98</v>
      </c>
      <c r="B576" s="97" t="s">
        <v>2</v>
      </c>
      <c r="C576" s="98">
        <v>436</v>
      </c>
      <c r="D576" s="16"/>
    </row>
    <row r="577" spans="1:4" ht="12.75">
      <c r="A577" s="99" t="s">
        <v>99</v>
      </c>
      <c r="B577" s="100" t="s">
        <v>100</v>
      </c>
      <c r="C577" s="101">
        <f>C581^2*C576*C582*C583/(((C576-1)*C585^2)+(C581^2*C582*C583))</f>
        <v>204.46614974018917</v>
      </c>
      <c r="D577" s="16"/>
    </row>
    <row r="578" spans="1:4" ht="12.75">
      <c r="A578" s="99" t="s">
        <v>59</v>
      </c>
      <c r="B578" s="102" t="s">
        <v>60</v>
      </c>
      <c r="C578" s="101">
        <f>1-C579</f>
        <v>0.95</v>
      </c>
      <c r="D578" s="16"/>
    </row>
    <row r="579" spans="1:4" ht="12.75">
      <c r="A579" s="99" t="s">
        <v>61</v>
      </c>
      <c r="B579" s="103" t="s">
        <v>61</v>
      </c>
      <c r="C579" s="104">
        <v>0.05</v>
      </c>
      <c r="D579" s="16"/>
    </row>
    <row r="580" spans="1:4" ht="12.75">
      <c r="A580" s="99" t="s">
        <v>62</v>
      </c>
      <c r="B580" s="102" t="s">
        <v>83</v>
      </c>
      <c r="C580" s="101">
        <f>1-C579/2</f>
        <v>0.975</v>
      </c>
      <c r="D580" s="16"/>
    </row>
    <row r="581" spans="1:4" ht="12.75">
      <c r="A581" s="99" t="s">
        <v>63</v>
      </c>
      <c r="B581" s="102" t="s">
        <v>56</v>
      </c>
      <c r="C581" s="101">
        <f>NORMSINV(C580)</f>
        <v>1.959963984540054</v>
      </c>
      <c r="D581" s="16"/>
    </row>
    <row r="582" spans="1:4" ht="12.75">
      <c r="A582" s="99" t="s">
        <v>224</v>
      </c>
      <c r="B582" s="103" t="s">
        <v>225</v>
      </c>
      <c r="C582" s="104">
        <v>0.5</v>
      </c>
      <c r="D582" s="16"/>
    </row>
    <row r="583" spans="1:4" ht="12.75">
      <c r="A583" s="99" t="s">
        <v>226</v>
      </c>
      <c r="B583" s="102" t="s">
        <v>227</v>
      </c>
      <c r="C583" s="101">
        <f>1-C582</f>
        <v>0.5</v>
      </c>
      <c r="D583" s="16"/>
    </row>
    <row r="584" spans="1:4" ht="12.75">
      <c r="A584" s="99" t="s">
        <v>104</v>
      </c>
      <c r="B584" s="102" t="s">
        <v>105</v>
      </c>
      <c r="C584" s="101">
        <f>((C576-C577)/(C576-1))^0.5</f>
        <v>0.7295626941772704</v>
      </c>
      <c r="D584" s="16"/>
    </row>
    <row r="585" spans="1:4" ht="12.75">
      <c r="A585" s="99" t="s">
        <v>250</v>
      </c>
      <c r="B585" s="100" t="s">
        <v>228</v>
      </c>
      <c r="C585" s="128">
        <f>C587*C586</f>
        <v>0.05</v>
      </c>
      <c r="D585" s="16"/>
    </row>
    <row r="586" spans="1:4" ht="12.75">
      <c r="A586" s="99" t="s">
        <v>240</v>
      </c>
      <c r="B586" s="103" t="s">
        <v>241</v>
      </c>
      <c r="C586" s="129">
        <v>1</v>
      </c>
      <c r="D586" s="16"/>
    </row>
    <row r="587" spans="1:4" ht="13.5" thickBot="1">
      <c r="A587" s="99" t="s">
        <v>244</v>
      </c>
      <c r="B587" s="102" t="s">
        <v>246</v>
      </c>
      <c r="C587" s="106">
        <f>C588/100</f>
        <v>0.05</v>
      </c>
      <c r="D587" s="16"/>
    </row>
    <row r="588" spans="1:4" ht="13.5" thickBot="1">
      <c r="A588" s="99" t="s">
        <v>245</v>
      </c>
      <c r="B588" s="100" t="s">
        <v>247</v>
      </c>
      <c r="C588" s="106">
        <f>100-C589</f>
        <v>5</v>
      </c>
      <c r="D588" s="16"/>
    </row>
    <row r="589" spans="1:4" ht="13.5" thickBot="1">
      <c r="A589" s="105" t="s">
        <v>242</v>
      </c>
      <c r="B589" s="107" t="s">
        <v>243</v>
      </c>
      <c r="C589" s="130">
        <v>95</v>
      </c>
      <c r="D589" s="16"/>
    </row>
    <row r="590" spans="1:4" ht="12.75">
      <c r="A590" s="109"/>
      <c r="B590" s="103"/>
      <c r="C590" s="103"/>
      <c r="D590" s="16"/>
    </row>
    <row r="591" spans="1:4" ht="13.5" thickBot="1">
      <c r="A591" s="95"/>
      <c r="B591" s="92"/>
      <c r="C591" s="92"/>
      <c r="D591" s="16"/>
    </row>
    <row r="592" spans="1:4" ht="13.5" thickBot="1">
      <c r="A592" s="133" t="s">
        <v>262</v>
      </c>
      <c r="B592" s="17"/>
      <c r="C592" s="17"/>
      <c r="D592" s="16"/>
    </row>
    <row r="593" spans="1:9" ht="12.75">
      <c r="A593" s="112" t="s">
        <v>96</v>
      </c>
      <c r="B593" s="134" t="s">
        <v>97</v>
      </c>
      <c r="C593" s="135">
        <f>((C594-C595)/C594)*C596/C595</f>
        <v>0.001955011878885912</v>
      </c>
      <c r="D593" s="16"/>
      <c r="F593" s="217" t="s">
        <v>0</v>
      </c>
      <c r="G593" s="217"/>
      <c r="H593" s="217"/>
      <c r="I593" s="217"/>
    </row>
    <row r="594" spans="1:9" ht="12.75">
      <c r="A594" s="114" t="s">
        <v>98</v>
      </c>
      <c r="B594" s="117" t="s">
        <v>2</v>
      </c>
      <c r="C594" s="124">
        <v>813</v>
      </c>
      <c r="D594" s="16"/>
      <c r="F594" s="218" t="s">
        <v>504</v>
      </c>
      <c r="G594" s="218"/>
      <c r="H594" s="218"/>
      <c r="I594" s="218"/>
    </row>
    <row r="595" spans="1:10" ht="12.75">
      <c r="A595" s="114" t="s">
        <v>99</v>
      </c>
      <c r="B595" s="117" t="s">
        <v>100</v>
      </c>
      <c r="C595" s="124">
        <v>219</v>
      </c>
      <c r="D595" s="16"/>
      <c r="F595" s="218" t="s">
        <v>501</v>
      </c>
      <c r="G595" s="218" t="s">
        <v>3</v>
      </c>
      <c r="H595" s="218" t="s">
        <v>4</v>
      </c>
      <c r="I595" s="218" t="s">
        <v>2</v>
      </c>
      <c r="J595" s="219" t="s">
        <v>498</v>
      </c>
    </row>
    <row r="596" spans="1:11" ht="15.75">
      <c r="A596" s="114" t="s">
        <v>101</v>
      </c>
      <c r="B596" s="117" t="s">
        <v>263</v>
      </c>
      <c r="C596" s="124">
        <v>0.586</v>
      </c>
      <c r="D596" s="16"/>
      <c r="F596" s="218">
        <v>1</v>
      </c>
      <c r="G596" s="218">
        <v>4.389610389610388</v>
      </c>
      <c r="H596" s="218">
        <v>0.6912202055222451</v>
      </c>
      <c r="I596" s="218">
        <v>77</v>
      </c>
      <c r="J596">
        <f>H596^2</f>
        <v>0.4777853725222147</v>
      </c>
      <c r="K596">
        <f>(I596/I598)*1100</f>
        <v>286.14864864864865</v>
      </c>
    </row>
    <row r="597" spans="1:11" ht="12.75">
      <c r="A597" s="114" t="s">
        <v>102</v>
      </c>
      <c r="B597" s="116" t="s">
        <v>103</v>
      </c>
      <c r="C597" s="123">
        <f>C593^0.5</f>
        <v>0.04421551626845391</v>
      </c>
      <c r="D597" s="16"/>
      <c r="F597" s="218">
        <v>2</v>
      </c>
      <c r="G597" s="218">
        <v>4.351598173515981</v>
      </c>
      <c r="H597" s="218">
        <v>0.7660423151631389</v>
      </c>
      <c r="I597" s="218">
        <v>219</v>
      </c>
      <c r="J597">
        <f>H597^2</f>
        <v>0.5868208286205019</v>
      </c>
      <c r="K597">
        <f>(I597/I598)*1100</f>
        <v>813.8513513513514</v>
      </c>
    </row>
    <row r="598" spans="1:9" ht="12.75">
      <c r="A598" s="114" t="s">
        <v>104</v>
      </c>
      <c r="B598" s="116" t="s">
        <v>105</v>
      </c>
      <c r="C598" s="123">
        <f>((C594-C595)/(C594-1))^0.5</f>
        <v>0.8552935715858381</v>
      </c>
      <c r="D598" s="16"/>
      <c r="F598" s="218" t="s">
        <v>198</v>
      </c>
      <c r="G598" s="218">
        <v>4.361486486486483</v>
      </c>
      <c r="H598" s="218">
        <v>0.7463378295041527</v>
      </c>
      <c r="I598" s="218">
        <v>296</v>
      </c>
    </row>
    <row r="599" spans="1:4" ht="12.75">
      <c r="A599" s="114" t="s">
        <v>59</v>
      </c>
      <c r="B599" s="116" t="s">
        <v>60</v>
      </c>
      <c r="C599" s="123">
        <f>1-C600</f>
        <v>0.95</v>
      </c>
      <c r="D599" s="16"/>
    </row>
    <row r="600" spans="1:4" ht="12.75">
      <c r="A600" s="114" t="s">
        <v>61</v>
      </c>
      <c r="B600" s="117" t="s">
        <v>61</v>
      </c>
      <c r="C600" s="124">
        <v>0.05</v>
      </c>
      <c r="D600" s="16"/>
    </row>
    <row r="601" spans="1:4" ht="12.75">
      <c r="A601" s="114" t="s">
        <v>62</v>
      </c>
      <c r="B601" s="116" t="s">
        <v>83</v>
      </c>
      <c r="C601" s="123">
        <f>1-(C600/2)</f>
        <v>0.975</v>
      </c>
      <c r="D601" s="16"/>
    </row>
    <row r="602" spans="1:4" ht="12.75">
      <c r="A602" s="114" t="s">
        <v>111</v>
      </c>
      <c r="B602" s="116" t="s">
        <v>71</v>
      </c>
      <c r="C602" s="123">
        <f>TINV(C600,C603)</f>
        <v>1.9709055511352638</v>
      </c>
      <c r="D602" s="16"/>
    </row>
    <row r="603" spans="1:4" ht="12.75">
      <c r="A603" s="114" t="s">
        <v>112</v>
      </c>
      <c r="B603" s="116" t="s">
        <v>73</v>
      </c>
      <c r="C603" s="123">
        <f>C595-1</f>
        <v>218</v>
      </c>
      <c r="D603" s="16"/>
    </row>
    <row r="604" spans="1:4" ht="12.75">
      <c r="A604" s="114" t="s">
        <v>106</v>
      </c>
      <c r="B604" s="117" t="s">
        <v>13</v>
      </c>
      <c r="C604" s="124">
        <v>4.351</v>
      </c>
      <c r="D604" s="16"/>
    </row>
    <row r="605" spans="1:4" ht="12.75">
      <c r="A605" s="114" t="s">
        <v>107</v>
      </c>
      <c r="B605" s="116" t="s">
        <v>108</v>
      </c>
      <c r="C605" s="123">
        <f>C604-(C602*C597)</f>
        <v>4.263855393540193</v>
      </c>
      <c r="D605" s="16"/>
    </row>
    <row r="606" spans="1:4" ht="12.75">
      <c r="A606" s="114" t="s">
        <v>109</v>
      </c>
      <c r="B606" s="116" t="s">
        <v>110</v>
      </c>
      <c r="C606" s="123">
        <f>C604+C602*C597</f>
        <v>4.438144606459807</v>
      </c>
      <c r="D606" s="16"/>
    </row>
    <row r="607" spans="1:4" ht="12.75">
      <c r="A607" s="114" t="s">
        <v>229</v>
      </c>
      <c r="B607" s="116" t="s">
        <v>230</v>
      </c>
      <c r="C607" s="136">
        <f>C606-C605</f>
        <v>0.1742892129196143</v>
      </c>
      <c r="D607" s="16"/>
    </row>
    <row r="608" spans="1:4" ht="12.75">
      <c r="A608" s="114" t="s">
        <v>231</v>
      </c>
      <c r="B608" s="116" t="s">
        <v>232</v>
      </c>
      <c r="C608" s="123">
        <f>C607/C605</f>
        <v>0.040875967131452244</v>
      </c>
      <c r="D608" s="16"/>
    </row>
    <row r="609" spans="1:4" ht="12.75">
      <c r="A609" s="114" t="s">
        <v>233</v>
      </c>
      <c r="B609" s="116" t="s">
        <v>234</v>
      </c>
      <c r="C609" s="123">
        <f>C608*100</f>
        <v>4.087596713145224</v>
      </c>
      <c r="D609" s="16"/>
    </row>
    <row r="610" spans="1:4" ht="12.75">
      <c r="A610" s="114" t="s">
        <v>260</v>
      </c>
      <c r="B610" s="116" t="s">
        <v>236</v>
      </c>
      <c r="C610" s="136">
        <f>C602*C597</f>
        <v>0.08714460645980737</v>
      </c>
      <c r="D610" s="16"/>
    </row>
    <row r="611" spans="1:4" ht="12.75">
      <c r="A611" s="114" t="s">
        <v>261</v>
      </c>
      <c r="B611" s="116" t="s">
        <v>237</v>
      </c>
      <c r="C611" s="137">
        <f>C610/C605</f>
        <v>0.020437983565726174</v>
      </c>
      <c r="D611" s="16"/>
    </row>
    <row r="612" spans="1:4" ht="12.75">
      <c r="A612" s="114" t="s">
        <v>248</v>
      </c>
      <c r="B612" s="116" t="s">
        <v>239</v>
      </c>
      <c r="C612" s="137">
        <f>C611*100</f>
        <v>2.0437983565726174</v>
      </c>
      <c r="D612" s="16"/>
    </row>
    <row r="613" spans="1:4" ht="12.75">
      <c r="A613" s="114" t="s">
        <v>240</v>
      </c>
      <c r="B613" s="117" t="s">
        <v>241</v>
      </c>
      <c r="C613" s="124">
        <v>5</v>
      </c>
      <c r="D613" s="16"/>
    </row>
    <row r="614" spans="1:4" ht="12.75">
      <c r="A614" s="114" t="s">
        <v>244</v>
      </c>
      <c r="B614" s="116" t="s">
        <v>246</v>
      </c>
      <c r="C614" s="137">
        <f>C610/C613</f>
        <v>0.017428921291961476</v>
      </c>
      <c r="D614" s="16"/>
    </row>
    <row r="615" spans="1:4" ht="12.75">
      <c r="A615" s="114" t="s">
        <v>245</v>
      </c>
      <c r="B615" s="116" t="s">
        <v>247</v>
      </c>
      <c r="C615" s="137">
        <f>C614*100</f>
        <v>1.7428921291961477</v>
      </c>
      <c r="D615" s="16"/>
    </row>
    <row r="616" spans="1:4" ht="13.5" thickBot="1">
      <c r="A616" s="118" t="s">
        <v>242</v>
      </c>
      <c r="B616" s="138" t="s">
        <v>243</v>
      </c>
      <c r="C616" s="139">
        <f>100-C615</f>
        <v>98.25710787080385</v>
      </c>
      <c r="D616" s="16"/>
    </row>
    <row r="617" spans="1:4" ht="12.75">
      <c r="A617" s="24"/>
      <c r="B617" s="25"/>
      <c r="C617" s="25"/>
      <c r="D617" s="16"/>
    </row>
    <row r="618" spans="1:4" ht="12.75">
      <c r="A618" s="16"/>
      <c r="B618" s="17"/>
      <c r="C618" s="17"/>
      <c r="D618" s="16"/>
    </row>
    <row r="619" spans="1:4" ht="13.5" thickBot="1">
      <c r="A619" s="16"/>
      <c r="B619" s="17"/>
      <c r="C619" s="17"/>
      <c r="D619" s="16"/>
    </row>
    <row r="620" spans="1:4" ht="13.5" thickBot="1">
      <c r="A620" s="35" t="s">
        <v>265</v>
      </c>
      <c r="B620" s="140"/>
      <c r="C620" s="141"/>
      <c r="D620" s="16"/>
    </row>
    <row r="621" spans="1:4" ht="12.75">
      <c r="A621" s="112" t="s">
        <v>278</v>
      </c>
      <c r="B621" s="134" t="s">
        <v>276</v>
      </c>
      <c r="C621" s="135">
        <f>C627*C629*C625</f>
        <v>34.624671596346246</v>
      </c>
      <c r="D621" s="16"/>
    </row>
    <row r="622" spans="1:4" ht="13.5" thickBot="1">
      <c r="A622" s="114" t="s">
        <v>279</v>
      </c>
      <c r="B622" s="116" t="s">
        <v>277</v>
      </c>
      <c r="C622" s="123">
        <f>C628*C630*C626</f>
        <v>102.92783986655547</v>
      </c>
      <c r="D622" s="16"/>
    </row>
    <row r="623" spans="1:9" ht="12.75">
      <c r="A623" s="114" t="s">
        <v>113</v>
      </c>
      <c r="B623" s="134" t="s">
        <v>283</v>
      </c>
      <c r="C623" s="123">
        <f>(C621*((C625-1)/C625)+C622*((C626-1)/C626))/(C625+C626-2)</f>
        <v>0.4631817467132805</v>
      </c>
      <c r="D623" s="16"/>
      <c r="F623" s="217" t="s">
        <v>0</v>
      </c>
      <c r="G623" s="217"/>
      <c r="H623" s="217"/>
      <c r="I623" s="217"/>
    </row>
    <row r="624" spans="1:9" ht="12.75">
      <c r="A624" s="114" t="s">
        <v>98</v>
      </c>
      <c r="B624" s="117" t="s">
        <v>2</v>
      </c>
      <c r="C624" s="124">
        <v>1100</v>
      </c>
      <c r="D624" s="16"/>
      <c r="F624" s="218" t="s">
        <v>504</v>
      </c>
      <c r="G624" s="218"/>
      <c r="H624" s="218"/>
      <c r="I624" s="218"/>
    </row>
    <row r="625" spans="1:10" ht="14.25">
      <c r="A625" s="114" t="s">
        <v>114</v>
      </c>
      <c r="B625" s="117" t="s">
        <v>266</v>
      </c>
      <c r="C625" s="124">
        <v>78</v>
      </c>
      <c r="D625" s="16"/>
      <c r="F625" s="218" t="s">
        <v>501</v>
      </c>
      <c r="G625" s="218" t="s">
        <v>3</v>
      </c>
      <c r="H625" s="218" t="s">
        <v>4</v>
      </c>
      <c r="I625" s="218" t="s">
        <v>2</v>
      </c>
      <c r="J625" s="219" t="s">
        <v>498</v>
      </c>
    </row>
    <row r="626" spans="1:11" ht="14.25">
      <c r="A626" s="114" t="s">
        <v>116</v>
      </c>
      <c r="B626" s="117" t="s">
        <v>267</v>
      </c>
      <c r="C626" s="124">
        <v>219</v>
      </c>
      <c r="D626" s="16">
        <f>C627*C627</f>
        <v>0.22827886219619148</v>
      </c>
      <c r="F626" s="218">
        <v>1</v>
      </c>
      <c r="G626" s="218">
        <v>4.389610389610388</v>
      </c>
      <c r="H626" s="218">
        <v>0.6912202055222451</v>
      </c>
      <c r="I626" s="218">
        <v>77</v>
      </c>
      <c r="J626">
        <f>H626^2</f>
        <v>0.4777853725222147</v>
      </c>
      <c r="K626">
        <f>(I626/I628)*1100</f>
        <v>286.14864864864865</v>
      </c>
    </row>
    <row r="627" spans="1:11" ht="15.75">
      <c r="A627" s="114" t="s">
        <v>118</v>
      </c>
      <c r="B627" s="117" t="s">
        <v>268</v>
      </c>
      <c r="C627" s="124">
        <v>0.4777853725222147</v>
      </c>
      <c r="D627" s="16">
        <f>C628*C628</f>
        <v>0.34435868490285243</v>
      </c>
      <c r="F627" s="218">
        <v>2</v>
      </c>
      <c r="G627" s="218">
        <v>4.351598173515981</v>
      </c>
      <c r="H627" s="218">
        <v>0.7660423151631389</v>
      </c>
      <c r="I627" s="218">
        <v>219</v>
      </c>
      <c r="J627">
        <f>H627^2</f>
        <v>0.5868208286205019</v>
      </c>
      <c r="K627">
        <f>(I627/I628)*1100</f>
        <v>813.8513513513514</v>
      </c>
    </row>
    <row r="628" spans="1:9" ht="15.75">
      <c r="A628" s="114" t="s">
        <v>119</v>
      </c>
      <c r="B628" s="117" t="s">
        <v>269</v>
      </c>
      <c r="C628" s="124">
        <v>0.5868208286205019</v>
      </c>
      <c r="D628" s="16"/>
      <c r="F628" s="218" t="s">
        <v>198</v>
      </c>
      <c r="G628" s="218">
        <v>4.361486486486483</v>
      </c>
      <c r="H628" s="218">
        <v>0.7463378295041527</v>
      </c>
      <c r="I628" s="218">
        <v>296</v>
      </c>
    </row>
    <row r="629" spans="1:4" ht="12.75">
      <c r="A629" s="114" t="s">
        <v>273</v>
      </c>
      <c r="B629" s="115" t="s">
        <v>275</v>
      </c>
      <c r="C629" s="125">
        <f>(C624-C625)/C624</f>
        <v>0.9290909090909091</v>
      </c>
      <c r="D629" s="16"/>
    </row>
    <row r="630" spans="1:4" ht="12.75">
      <c r="A630" s="114" t="s">
        <v>274</v>
      </c>
      <c r="B630" s="115" t="s">
        <v>275</v>
      </c>
      <c r="C630" s="125">
        <f>(C624-C626)/C624</f>
        <v>0.8009090909090909</v>
      </c>
      <c r="D630" s="16"/>
    </row>
    <row r="631" spans="1:4" ht="12.75">
      <c r="A631" s="114" t="s">
        <v>120</v>
      </c>
      <c r="B631" s="116" t="s">
        <v>281</v>
      </c>
      <c r="C631" s="123">
        <f>C623^0.5*((1/C625)+(1/C626))^0.5</f>
        <v>0.08973969393069399</v>
      </c>
      <c r="D631" s="16"/>
    </row>
    <row r="632" spans="1:4" ht="14.25">
      <c r="A632" s="114" t="s">
        <v>121</v>
      </c>
      <c r="B632" s="116" t="s">
        <v>270</v>
      </c>
      <c r="C632" s="123">
        <f>((C624-C625)/(C624-1))^0.5</f>
        <v>0.9643320515945139</v>
      </c>
      <c r="D632" s="16"/>
    </row>
    <row r="633" spans="1:4" ht="12.75">
      <c r="A633" s="114" t="s">
        <v>122</v>
      </c>
      <c r="B633" s="116" t="s">
        <v>123</v>
      </c>
      <c r="C633" s="123">
        <f>((C624-C626)/(C624-1))^0.5</f>
        <v>0.8953423102887893</v>
      </c>
      <c r="D633" s="16"/>
    </row>
    <row r="634" spans="1:4" ht="12.75">
      <c r="A634" s="114" t="s">
        <v>59</v>
      </c>
      <c r="B634" s="116" t="s">
        <v>60</v>
      </c>
      <c r="C634" s="123">
        <f>1-C635</f>
        <v>0.95</v>
      </c>
      <c r="D634" s="16"/>
    </row>
    <row r="635" spans="1:4" ht="12.75">
      <c r="A635" s="114" t="s">
        <v>61</v>
      </c>
      <c r="B635" s="117" t="s">
        <v>61</v>
      </c>
      <c r="C635" s="124">
        <v>0.05</v>
      </c>
      <c r="D635" s="16"/>
    </row>
    <row r="636" spans="1:4" ht="12.75">
      <c r="A636" s="114" t="s">
        <v>62</v>
      </c>
      <c r="B636" s="116" t="s">
        <v>83</v>
      </c>
      <c r="C636" s="123">
        <f>1-(C635/2)</f>
        <v>0.975</v>
      </c>
      <c r="D636" s="16"/>
    </row>
    <row r="637" spans="1:4" ht="12.75">
      <c r="A637" s="114" t="s">
        <v>111</v>
      </c>
      <c r="B637" s="116" t="s">
        <v>71</v>
      </c>
      <c r="C637" s="123">
        <f>TINV(C635,C638)</f>
        <v>1.9680380515327314</v>
      </c>
      <c r="D637" s="16"/>
    </row>
    <row r="638" spans="1:4" ht="12.75">
      <c r="A638" s="114" t="s">
        <v>112</v>
      </c>
      <c r="B638" s="116" t="s">
        <v>73</v>
      </c>
      <c r="C638" s="123">
        <f>C625+C626-2</f>
        <v>295</v>
      </c>
      <c r="D638" s="16"/>
    </row>
    <row r="639" spans="1:4" ht="14.25">
      <c r="A639" s="114" t="s">
        <v>82</v>
      </c>
      <c r="B639" s="117" t="s">
        <v>271</v>
      </c>
      <c r="C639" s="124">
        <v>4.389610389610388</v>
      </c>
      <c r="D639" s="16"/>
    </row>
    <row r="640" spans="1:4" ht="14.25">
      <c r="A640" s="114" t="s">
        <v>124</v>
      </c>
      <c r="B640" s="117" t="s">
        <v>272</v>
      </c>
      <c r="C640" s="124">
        <v>4.351598173515981</v>
      </c>
      <c r="D640" s="16"/>
    </row>
    <row r="641" spans="1:4" ht="12.75">
      <c r="A641" s="114" t="s">
        <v>125</v>
      </c>
      <c r="B641" s="116" t="s">
        <v>108</v>
      </c>
      <c r="C641" s="123">
        <f>(C639-C640)-(C637*C631)</f>
        <v>-0.13859891629410015</v>
      </c>
      <c r="D641" s="16"/>
    </row>
    <row r="642" spans="1:4" ht="13.5" thickBot="1">
      <c r="A642" s="118" t="s">
        <v>126</v>
      </c>
      <c r="B642" s="138" t="s">
        <v>110</v>
      </c>
      <c r="C642" s="142">
        <f>(C639-C640)+(C637*C631)</f>
        <v>0.2146233484829132</v>
      </c>
      <c r="D642" s="16"/>
    </row>
    <row r="643" spans="1:4" ht="13.5" thickBot="1">
      <c r="A643" s="24"/>
      <c r="B643" s="25"/>
      <c r="C643" s="25"/>
      <c r="D643" s="16"/>
    </row>
    <row r="644" spans="1:4" ht="13.5" thickBot="1">
      <c r="A644" s="35" t="s">
        <v>264</v>
      </c>
      <c r="B644" s="140"/>
      <c r="C644" s="141"/>
      <c r="D644" s="16"/>
    </row>
    <row r="645" spans="1:4" ht="12.75">
      <c r="A645" s="114" t="s">
        <v>278</v>
      </c>
      <c r="B645" s="116" t="s">
        <v>276</v>
      </c>
      <c r="C645" s="123">
        <f>C651*(C649)</f>
        <v>16.016</v>
      </c>
      <c r="D645" s="16"/>
    </row>
    <row r="646" spans="1:4" ht="13.5" thickBot="1">
      <c r="A646" s="114" t="s">
        <v>279</v>
      </c>
      <c r="B646" s="116" t="s">
        <v>277</v>
      </c>
      <c r="C646" s="123">
        <f>C652*(C650)</f>
        <v>47.971000000000004</v>
      </c>
      <c r="D646" s="16"/>
    </row>
    <row r="647" spans="1:4" ht="12.75">
      <c r="A647" s="112" t="s">
        <v>113</v>
      </c>
      <c r="B647" s="134" t="s">
        <v>284</v>
      </c>
      <c r="C647" s="135">
        <f>(C645*((C649-1)/C649)+C646*((C650-1)/C650))/(C649+C650-2)</f>
        <v>0.33138219895287957</v>
      </c>
      <c r="D647" s="16"/>
    </row>
    <row r="648" spans="1:4" ht="12.75">
      <c r="A648" s="114" t="s">
        <v>98</v>
      </c>
      <c r="B648" s="117" t="s">
        <v>2</v>
      </c>
      <c r="C648" s="124">
        <v>436</v>
      </c>
      <c r="D648" s="16"/>
    </row>
    <row r="649" spans="1:4" ht="14.25">
      <c r="A649" s="114" t="s">
        <v>114</v>
      </c>
      <c r="B649" s="117" t="s">
        <v>266</v>
      </c>
      <c r="C649" s="124">
        <v>104</v>
      </c>
      <c r="D649" s="16"/>
    </row>
    <row r="650" spans="1:4" ht="14.25">
      <c r="A650" s="114" t="s">
        <v>116</v>
      </c>
      <c r="B650" s="117" t="s">
        <v>267</v>
      </c>
      <c r="C650" s="124">
        <v>89</v>
      </c>
      <c r="D650" s="16"/>
    </row>
    <row r="651" spans="1:4" ht="15.75">
      <c r="A651" s="114" t="s">
        <v>118</v>
      </c>
      <c r="B651" s="117" t="s">
        <v>268</v>
      </c>
      <c r="C651" s="124">
        <v>0.154</v>
      </c>
      <c r="D651" s="16"/>
    </row>
    <row r="652" spans="1:4" ht="15.75">
      <c r="A652" s="114" t="s">
        <v>119</v>
      </c>
      <c r="B652" s="117" t="s">
        <v>269</v>
      </c>
      <c r="C652" s="124">
        <v>0.539</v>
      </c>
      <c r="D652" s="16"/>
    </row>
    <row r="653" spans="1:4" ht="12.75">
      <c r="A653" s="114" t="s">
        <v>120</v>
      </c>
      <c r="B653" s="116" t="s">
        <v>282</v>
      </c>
      <c r="C653" s="123">
        <f>C647^0.5*((1/C649)+(1/C650))^0.5</f>
        <v>0.0831249829562474</v>
      </c>
      <c r="D653" s="16"/>
    </row>
    <row r="654" spans="1:4" ht="14.25">
      <c r="A654" s="114" t="s">
        <v>121</v>
      </c>
      <c r="B654" s="116" t="s">
        <v>270</v>
      </c>
      <c r="C654" s="123">
        <f>((C648-C649)/(C648-1))^0.5</f>
        <v>0.8736237123639661</v>
      </c>
      <c r="D654" s="16"/>
    </row>
    <row r="655" spans="1:4" ht="12.75">
      <c r="A655" s="114" t="s">
        <v>122</v>
      </c>
      <c r="B655" s="116" t="s">
        <v>123</v>
      </c>
      <c r="C655" s="123">
        <f>((C648-C650)/(C648-1))^0.5</f>
        <v>0.8931411699307603</v>
      </c>
      <c r="D655" s="16"/>
    </row>
    <row r="656" spans="1:4" ht="12.75">
      <c r="A656" s="114" t="s">
        <v>59</v>
      </c>
      <c r="B656" s="116" t="s">
        <v>60</v>
      </c>
      <c r="C656" s="123">
        <f>1-C657</f>
        <v>0.95</v>
      </c>
      <c r="D656" s="16"/>
    </row>
    <row r="657" spans="1:4" ht="12.75">
      <c r="A657" s="114" t="s">
        <v>61</v>
      </c>
      <c r="B657" s="117" t="s">
        <v>61</v>
      </c>
      <c r="C657" s="124">
        <v>0.05</v>
      </c>
      <c r="D657" s="16"/>
    </row>
    <row r="658" spans="1:4" ht="12.75">
      <c r="A658" s="114" t="s">
        <v>62</v>
      </c>
      <c r="B658" s="116" t="s">
        <v>83</v>
      </c>
      <c r="C658" s="123">
        <f>1-(C657/2)</f>
        <v>0.975</v>
      </c>
      <c r="D658" s="16"/>
    </row>
    <row r="659" spans="1:4" ht="12.75">
      <c r="A659" s="114" t="s">
        <v>111</v>
      </c>
      <c r="B659" s="116" t="s">
        <v>71</v>
      </c>
      <c r="C659" s="123">
        <f>TINV(C657,C660)</f>
        <v>1.9724619458172743</v>
      </c>
      <c r="D659" s="16"/>
    </row>
    <row r="660" spans="1:4" ht="12.75">
      <c r="A660" s="114" t="s">
        <v>112</v>
      </c>
      <c r="B660" s="116" t="s">
        <v>73</v>
      </c>
      <c r="C660" s="123">
        <f>C649+C650-2</f>
        <v>191</v>
      </c>
      <c r="D660" s="16"/>
    </row>
    <row r="661" spans="1:4" ht="14.25">
      <c r="A661" s="114" t="s">
        <v>82</v>
      </c>
      <c r="B661" s="117" t="s">
        <v>271</v>
      </c>
      <c r="C661" s="124">
        <v>4.718</v>
      </c>
      <c r="D661" s="16"/>
    </row>
    <row r="662" spans="1:4" ht="14.25">
      <c r="A662" s="114" t="s">
        <v>124</v>
      </c>
      <c r="B662" s="117" t="s">
        <v>272</v>
      </c>
      <c r="C662" s="124">
        <v>4.5</v>
      </c>
      <c r="D662" s="16"/>
    </row>
    <row r="663" spans="1:4" ht="12.75">
      <c r="A663" s="114" t="s">
        <v>125</v>
      </c>
      <c r="B663" s="116" t="s">
        <v>108</v>
      </c>
      <c r="C663" s="123">
        <f>(C661-C662)-((C659*C653))</f>
        <v>0.05403913437209246</v>
      </c>
      <c r="D663" s="16"/>
    </row>
    <row r="664" spans="1:4" ht="13.5" thickBot="1">
      <c r="A664" s="118" t="s">
        <v>126</v>
      </c>
      <c r="B664" s="138" t="s">
        <v>110</v>
      </c>
      <c r="C664" s="142">
        <f>(C661-C662)+((C659*C653))</f>
        <v>0.3819608656279075</v>
      </c>
      <c r="D664" s="16"/>
    </row>
    <row r="665" spans="1:4" ht="13.5" thickBot="1">
      <c r="A665" s="172"/>
      <c r="B665" s="116"/>
      <c r="C665" s="116"/>
      <c r="D665" s="16"/>
    </row>
    <row r="666" spans="1:4" ht="13.5" thickBot="1">
      <c r="A666" s="35" t="s">
        <v>397</v>
      </c>
      <c r="B666" s="140"/>
      <c r="C666" s="141"/>
      <c r="D666" s="16"/>
    </row>
    <row r="667" spans="1:4" ht="12.75">
      <c r="A667" s="114" t="s">
        <v>278</v>
      </c>
      <c r="B667" s="116" t="s">
        <v>276</v>
      </c>
      <c r="C667" s="123">
        <f>C672*C670</f>
        <v>16.016</v>
      </c>
      <c r="D667" s="16"/>
    </row>
    <row r="668" spans="1:4" ht="12.75">
      <c r="A668" s="114" t="s">
        <v>279</v>
      </c>
      <c r="B668" s="116" t="s">
        <v>277</v>
      </c>
      <c r="C668" s="123">
        <f>C673*C671</f>
        <v>47.971000000000004</v>
      </c>
      <c r="D668" s="16"/>
    </row>
    <row r="669" spans="1:4" ht="12.75">
      <c r="A669" s="114" t="s">
        <v>98</v>
      </c>
      <c r="B669" s="117" t="s">
        <v>2</v>
      </c>
      <c r="C669" s="124">
        <v>436</v>
      </c>
      <c r="D669" s="16"/>
    </row>
    <row r="670" spans="1:4" ht="14.25">
      <c r="A670" s="114" t="s">
        <v>114</v>
      </c>
      <c r="B670" s="117" t="s">
        <v>266</v>
      </c>
      <c r="C670" s="124">
        <v>104</v>
      </c>
      <c r="D670" s="16"/>
    </row>
    <row r="671" spans="1:4" ht="14.25">
      <c r="A671" s="114" t="s">
        <v>116</v>
      </c>
      <c r="B671" s="117" t="s">
        <v>267</v>
      </c>
      <c r="C671" s="124">
        <v>89</v>
      </c>
      <c r="D671" s="16"/>
    </row>
    <row r="672" spans="1:4" ht="15.75">
      <c r="A672" s="114" t="s">
        <v>118</v>
      </c>
      <c r="B672" s="117" t="s">
        <v>268</v>
      </c>
      <c r="C672" s="124">
        <v>0.154</v>
      </c>
      <c r="D672" s="16"/>
    </row>
    <row r="673" spans="1:4" ht="15.75">
      <c r="A673" s="114" t="s">
        <v>119</v>
      </c>
      <c r="B673" s="117" t="s">
        <v>269</v>
      </c>
      <c r="C673" s="124">
        <v>0.539</v>
      </c>
      <c r="D673" s="16"/>
    </row>
    <row r="674" spans="1:4" ht="12.75">
      <c r="A674" s="114" t="s">
        <v>120</v>
      </c>
      <c r="B674" s="116" t="s">
        <v>282</v>
      </c>
      <c r="C674" s="123">
        <f>((C672/C670)+(C673/C671))^0.5</f>
        <v>0.08681560347109343</v>
      </c>
      <c r="D674" s="16"/>
    </row>
    <row r="675" spans="1:4" ht="14.25">
      <c r="A675" s="114" t="s">
        <v>121</v>
      </c>
      <c r="B675" s="116" t="s">
        <v>270</v>
      </c>
      <c r="C675" s="123">
        <f>((C669-C670)/(C669-1))^0.5</f>
        <v>0.8736237123639661</v>
      </c>
      <c r="D675" s="16"/>
    </row>
    <row r="676" spans="1:4" ht="12.75">
      <c r="A676" s="114" t="s">
        <v>122</v>
      </c>
      <c r="B676" s="116" t="s">
        <v>123</v>
      </c>
      <c r="C676" s="123">
        <f>((C669-C671)/(C669-1))^0.5</f>
        <v>0.8931411699307603</v>
      </c>
      <c r="D676" s="16"/>
    </row>
    <row r="677" spans="1:4" ht="12.75">
      <c r="A677" s="114" t="s">
        <v>59</v>
      </c>
      <c r="B677" s="116" t="s">
        <v>60</v>
      </c>
      <c r="C677" s="123">
        <f>1-C678</f>
        <v>0.95</v>
      </c>
      <c r="D677" s="16"/>
    </row>
    <row r="678" spans="1:4" ht="12.75">
      <c r="A678" s="114" t="s">
        <v>61</v>
      </c>
      <c r="B678" s="117" t="s">
        <v>61</v>
      </c>
      <c r="C678" s="124">
        <v>0.05</v>
      </c>
      <c r="D678" s="16"/>
    </row>
    <row r="679" spans="1:4" ht="12.75">
      <c r="A679" s="114" t="s">
        <v>62</v>
      </c>
      <c r="B679" s="116" t="s">
        <v>83</v>
      </c>
      <c r="C679" s="123">
        <f>1-(C678/2)</f>
        <v>0.975</v>
      </c>
      <c r="D679" s="16"/>
    </row>
    <row r="680" spans="1:4" ht="12.75">
      <c r="A680" s="114" t="s">
        <v>111</v>
      </c>
      <c r="B680" s="116" t="s">
        <v>71</v>
      </c>
      <c r="C680" s="123">
        <f>TINV(C678,C683)</f>
        <v>1.9785244645517066</v>
      </c>
      <c r="D680" s="16"/>
    </row>
    <row r="681" spans="1:4" ht="12.75">
      <c r="A681" s="114" t="s">
        <v>398</v>
      </c>
      <c r="B681" s="116" t="s">
        <v>399</v>
      </c>
      <c r="C681" s="123">
        <f>(C674^2)^2</f>
        <v>5.6805600319800044E-05</v>
      </c>
      <c r="D681" s="16"/>
    </row>
    <row r="682" spans="1:4" ht="12.75">
      <c r="A682" s="114" t="s">
        <v>400</v>
      </c>
      <c r="B682" s="116" t="s">
        <v>401</v>
      </c>
      <c r="C682" s="123">
        <f>(((C672/C670)^2/(C670-1))+((C673/C671)^2/(C671-1)))</f>
        <v>4.3807578428568846E-07</v>
      </c>
      <c r="D682" s="16"/>
    </row>
    <row r="683" spans="1:4" ht="12.75">
      <c r="A683" s="114" t="s">
        <v>112</v>
      </c>
      <c r="B683" s="116" t="s">
        <v>73</v>
      </c>
      <c r="C683" s="123">
        <f>C681/C682</f>
        <v>129.67071533621822</v>
      </c>
      <c r="D683" s="16"/>
    </row>
    <row r="684" spans="1:4" ht="14.25">
      <c r="A684" s="114" t="s">
        <v>82</v>
      </c>
      <c r="B684" s="117" t="s">
        <v>271</v>
      </c>
      <c r="C684" s="124">
        <v>4.718</v>
      </c>
      <c r="D684" s="16"/>
    </row>
    <row r="685" spans="1:4" ht="14.25">
      <c r="A685" s="114" t="s">
        <v>124</v>
      </c>
      <c r="B685" s="117" t="s">
        <v>272</v>
      </c>
      <c r="C685" s="124">
        <v>4.5</v>
      </c>
      <c r="D685" s="16"/>
    </row>
    <row r="686" spans="1:4" ht="12.75">
      <c r="A686" s="114" t="s">
        <v>125</v>
      </c>
      <c r="B686" s="116" t="s">
        <v>108</v>
      </c>
      <c r="C686" s="123">
        <f>(C684-C685)-((C680*C674))</f>
        <v>0.046233204627621566</v>
      </c>
      <c r="D686" s="16"/>
    </row>
    <row r="687" spans="1:4" ht="13.5" thickBot="1">
      <c r="A687" s="118" t="s">
        <v>126</v>
      </c>
      <c r="B687" s="138" t="s">
        <v>110</v>
      </c>
      <c r="C687" s="142">
        <f>(C684-C685)+((C680*C674))</f>
        <v>0.38976679537237835</v>
      </c>
      <c r="D687" s="16"/>
    </row>
    <row r="688" spans="1:4" ht="12.75">
      <c r="A688" s="16"/>
      <c r="B688" s="17"/>
      <c r="C688" s="17"/>
      <c r="D688" s="16"/>
    </row>
    <row r="689" spans="1:4" ht="12.75">
      <c r="A689" s="16" t="s">
        <v>127</v>
      </c>
      <c r="B689" s="17" t="s">
        <v>71</v>
      </c>
      <c r="C689" s="17" t="e">
        <f>(C693)/(C694)^0.5</f>
        <v>#DIV/0!</v>
      </c>
      <c r="D689" s="16"/>
    </row>
    <row r="690" spans="1:4" ht="12.75">
      <c r="A690" s="16" t="s">
        <v>128</v>
      </c>
      <c r="B690" s="26" t="s">
        <v>30</v>
      </c>
      <c r="C690" s="26"/>
      <c r="D690" s="16"/>
    </row>
    <row r="691" spans="1:4" ht="12.75">
      <c r="A691" s="16" t="s">
        <v>129</v>
      </c>
      <c r="B691" s="26" t="s">
        <v>32</v>
      </c>
      <c r="C691" s="26"/>
      <c r="D691" s="16"/>
    </row>
    <row r="692" spans="1:4" ht="12.75">
      <c r="A692" s="16" t="s">
        <v>130</v>
      </c>
      <c r="B692" s="26" t="s">
        <v>131</v>
      </c>
      <c r="C692" s="26"/>
      <c r="D692" s="16"/>
    </row>
    <row r="693" spans="1:4" ht="14.25">
      <c r="A693" s="16" t="s">
        <v>132</v>
      </c>
      <c r="B693" s="42" t="s">
        <v>133</v>
      </c>
      <c r="C693" s="17">
        <f>SUM(B690:B692)</f>
        <v>0</v>
      </c>
      <c r="D693" s="16"/>
    </row>
    <row r="694" spans="1:4" ht="15.75">
      <c r="A694" s="16" t="s">
        <v>134</v>
      </c>
      <c r="B694" s="26" t="s">
        <v>135</v>
      </c>
      <c r="C694" s="26"/>
      <c r="D694" s="16"/>
    </row>
    <row r="695" spans="1:4" ht="14.25">
      <c r="A695" s="16" t="s">
        <v>136</v>
      </c>
      <c r="B695" s="26" t="s">
        <v>115</v>
      </c>
      <c r="C695" s="26"/>
      <c r="D695" s="16"/>
    </row>
    <row r="696" spans="1:4" ht="14.25">
      <c r="A696" s="16" t="s">
        <v>137</v>
      </c>
      <c r="B696" s="26" t="s">
        <v>117</v>
      </c>
      <c r="C696" s="26"/>
      <c r="D696" s="16"/>
    </row>
    <row r="697" spans="1:4" ht="14.25">
      <c r="A697" s="16" t="s">
        <v>138</v>
      </c>
      <c r="B697" s="26" t="s">
        <v>139</v>
      </c>
      <c r="C697" s="26"/>
      <c r="D697" s="16"/>
    </row>
    <row r="698" spans="1:4" ht="14.25">
      <c r="A698" s="16" t="s">
        <v>140</v>
      </c>
      <c r="B698" s="42" t="s">
        <v>141</v>
      </c>
      <c r="C698" s="17">
        <f>SUM(B695:B697)</f>
        <v>0</v>
      </c>
      <c r="D698" s="16"/>
    </row>
    <row r="699" spans="1:4" ht="12.75">
      <c r="A699" s="16" t="s">
        <v>142</v>
      </c>
      <c r="B699" s="17" t="s">
        <v>73</v>
      </c>
      <c r="C699" s="17"/>
      <c r="D699" s="16" t="s">
        <v>143</v>
      </c>
    </row>
    <row r="700" spans="1:4" ht="12.75">
      <c r="A700" s="16"/>
      <c r="B700" s="17"/>
      <c r="C700" s="17"/>
      <c r="D700" s="16"/>
    </row>
    <row r="701" spans="1:4" ht="15.75">
      <c r="A701" s="16" t="s">
        <v>144</v>
      </c>
      <c r="B701" s="17" t="s">
        <v>145</v>
      </c>
      <c r="C701" s="17" t="e">
        <f>((C702)/(C703+C704))^0.5</f>
        <v>#DIV/0!</v>
      </c>
      <c r="D701" s="16" t="s">
        <v>146</v>
      </c>
    </row>
    <row r="702" spans="1:4" ht="12.75">
      <c r="A702" s="16" t="s">
        <v>147</v>
      </c>
      <c r="B702" s="26" t="s">
        <v>148</v>
      </c>
      <c r="C702" s="26"/>
      <c r="D702" s="16"/>
    </row>
    <row r="703" spans="1:4" ht="12.75">
      <c r="A703" s="16" t="s">
        <v>149</v>
      </c>
      <c r="B703" s="26" t="s">
        <v>150</v>
      </c>
      <c r="C703" s="26"/>
      <c r="D703" s="16"/>
    </row>
    <row r="704" spans="1:4" ht="12.75">
      <c r="A704" s="16" t="s">
        <v>151</v>
      </c>
      <c r="B704" s="26" t="s">
        <v>152</v>
      </c>
      <c r="C704" s="26"/>
      <c r="D704" s="16"/>
    </row>
    <row r="705" spans="1:4" ht="15.75">
      <c r="A705" s="16" t="s">
        <v>153</v>
      </c>
      <c r="B705" s="17" t="s">
        <v>154</v>
      </c>
      <c r="C705" s="17" t="e">
        <f>(C702/C704)^0.5</f>
        <v>#DIV/0!</v>
      </c>
      <c r="D705" s="16"/>
    </row>
    <row r="706" spans="1:4" ht="15.75">
      <c r="A706" s="16" t="s">
        <v>155</v>
      </c>
      <c r="B706" s="17" t="s">
        <v>156</v>
      </c>
      <c r="C706" s="17"/>
      <c r="D706" s="16" t="s">
        <v>157</v>
      </c>
    </row>
    <row r="707" spans="1:4" ht="15.75">
      <c r="A707" s="43" t="s">
        <v>158</v>
      </c>
      <c r="B707" s="44" t="s">
        <v>159</v>
      </c>
      <c r="C707" s="44" t="e">
        <f>((C708^0.5)/(C708^0.5+C709))^0.5</f>
        <v>#DIV/0!</v>
      </c>
      <c r="D707" s="16"/>
    </row>
    <row r="708" spans="1:4" ht="12.75">
      <c r="A708" s="43" t="s">
        <v>111</v>
      </c>
      <c r="B708" s="45" t="s">
        <v>71</v>
      </c>
      <c r="C708" s="45"/>
      <c r="D708" s="16"/>
    </row>
    <row r="709" spans="1:4" ht="12.75">
      <c r="A709" s="43" t="s">
        <v>112</v>
      </c>
      <c r="B709" s="45" t="s">
        <v>73</v>
      </c>
      <c r="C709" s="45"/>
      <c r="D709" s="16"/>
    </row>
    <row r="710" spans="1:4" ht="12.75">
      <c r="A710" s="46" t="s">
        <v>160</v>
      </c>
      <c r="B710" s="47" t="s">
        <v>75</v>
      </c>
      <c r="C710" s="47" t="e">
        <f>C711/((C712/C713)^0.5)</f>
        <v>#DIV/0!</v>
      </c>
      <c r="D710" s="16" t="s">
        <v>161</v>
      </c>
    </row>
    <row r="711" spans="1:4" ht="12.75">
      <c r="A711" s="46" t="s">
        <v>26</v>
      </c>
      <c r="B711" s="47" t="s">
        <v>162</v>
      </c>
      <c r="C711" s="47" t="e">
        <f>(C714-C715)/C716</f>
        <v>#DIV/0!</v>
      </c>
      <c r="D711" s="16"/>
    </row>
    <row r="712" spans="1:4" ht="12.75">
      <c r="A712" s="46" t="s">
        <v>163</v>
      </c>
      <c r="B712" s="48" t="s">
        <v>100</v>
      </c>
      <c r="C712" s="48"/>
      <c r="D712" s="16"/>
    </row>
    <row r="713" spans="1:4" ht="12.75">
      <c r="A713" s="46" t="s">
        <v>164</v>
      </c>
      <c r="B713" s="48" t="s">
        <v>73</v>
      </c>
      <c r="C713" s="48"/>
      <c r="D713" s="16"/>
    </row>
    <row r="714" spans="1:4" ht="12.75">
      <c r="A714" s="46" t="s">
        <v>128</v>
      </c>
      <c r="B714" s="48" t="s">
        <v>30</v>
      </c>
      <c r="C714" s="48"/>
      <c r="D714" s="16"/>
    </row>
    <row r="715" spans="1:4" ht="12.75">
      <c r="A715" s="46" t="s">
        <v>129</v>
      </c>
      <c r="B715" s="48" t="s">
        <v>32</v>
      </c>
      <c r="C715" s="48"/>
      <c r="D715" s="16"/>
    </row>
    <row r="716" spans="1:4" ht="14.25">
      <c r="A716" s="46" t="s">
        <v>165</v>
      </c>
      <c r="B716" s="47" t="s">
        <v>166</v>
      </c>
      <c r="C716" s="47" t="e">
        <f>C717*((C713/C712)^0.5)</f>
        <v>#DIV/0!</v>
      </c>
      <c r="D716" s="16"/>
    </row>
    <row r="717" spans="1:4" ht="14.25">
      <c r="A717" s="46" t="s">
        <v>167</v>
      </c>
      <c r="B717" s="48" t="s">
        <v>168</v>
      </c>
      <c r="C717" s="48"/>
      <c r="D717" s="16"/>
    </row>
    <row r="718" spans="1:4" ht="14.25">
      <c r="A718" s="16" t="s">
        <v>169</v>
      </c>
      <c r="B718" s="17" t="s">
        <v>170</v>
      </c>
      <c r="C718" s="17" t="e">
        <f>((4*C705^2)/(1+3*C705^2))^0.5</f>
        <v>#DIV/0!</v>
      </c>
      <c r="D718" s="16"/>
    </row>
    <row r="719" spans="1:4" ht="12.75">
      <c r="A719" s="16"/>
      <c r="B719" s="17"/>
      <c r="C719" s="17"/>
      <c r="D719" s="16"/>
    </row>
    <row r="720" spans="1:4" ht="12.75">
      <c r="A720" s="16"/>
      <c r="B720" s="17"/>
      <c r="C720" s="17"/>
      <c r="D720" s="16"/>
    </row>
    <row r="721" spans="1:4" ht="12.75">
      <c r="A721" s="16"/>
      <c r="B721" s="17"/>
      <c r="C721" s="17"/>
      <c r="D721" s="16"/>
    </row>
    <row r="722" spans="1:4" ht="12.75">
      <c r="A722" s="27"/>
      <c r="B722" s="28"/>
      <c r="C722" s="29"/>
      <c r="D722" s="16"/>
    </row>
    <row r="723" spans="1:4" ht="12.75">
      <c r="A723" s="30"/>
      <c r="B723" s="25"/>
      <c r="C723" s="31"/>
      <c r="D723" s="16"/>
    </row>
    <row r="724" spans="1:4" ht="12.75">
      <c r="A724" s="30"/>
      <c r="B724" s="25"/>
      <c r="C724" s="31"/>
      <c r="D724" s="16"/>
    </row>
    <row r="725" spans="1:4" ht="12.75">
      <c r="A725" s="30"/>
      <c r="B725" s="25"/>
      <c r="C725" s="31"/>
      <c r="D725" s="16"/>
    </row>
    <row r="726" spans="1:4" ht="12.75">
      <c r="A726" s="30"/>
      <c r="B726" s="25"/>
      <c r="C726" s="31"/>
      <c r="D726" s="16"/>
    </row>
    <row r="727" spans="1:4" ht="12.75">
      <c r="A727" s="30"/>
      <c r="B727" s="25"/>
      <c r="C727" s="31"/>
      <c r="D727" s="16"/>
    </row>
    <row r="728" spans="1:4" ht="12.75">
      <c r="A728" s="30"/>
      <c r="B728" s="25"/>
      <c r="C728" s="31"/>
      <c r="D728" s="16"/>
    </row>
    <row r="729" spans="1:4" ht="12.75">
      <c r="A729" s="30"/>
      <c r="B729" s="25"/>
      <c r="C729" s="31"/>
      <c r="D729" s="16"/>
    </row>
    <row r="730" spans="1:4" ht="12.75">
      <c r="A730" s="32"/>
      <c r="B730" s="33"/>
      <c r="C730" s="34"/>
      <c r="D730" s="16"/>
    </row>
    <row r="731" spans="1:4" ht="12.75">
      <c r="A731" s="16"/>
      <c r="B731" s="17"/>
      <c r="C731" s="17"/>
      <c r="D731" s="16"/>
    </row>
    <row r="732" spans="1:4" ht="12.75">
      <c r="A732" s="16"/>
      <c r="B732" s="17"/>
      <c r="C732" s="17"/>
      <c r="D732" s="16"/>
    </row>
    <row r="733" spans="1:4" ht="12.75">
      <c r="A733" s="16"/>
      <c r="B733" s="17"/>
      <c r="C733" s="17"/>
      <c r="D733" s="16"/>
    </row>
    <row r="734" spans="1:4" ht="12.75">
      <c r="A734" s="16"/>
      <c r="B734" s="17"/>
      <c r="C734" s="17"/>
      <c r="D734" s="16"/>
    </row>
    <row r="735" spans="1:4" ht="12.75">
      <c r="A735" s="16"/>
      <c r="B735" s="17"/>
      <c r="C735" s="17"/>
      <c r="D735" s="16"/>
    </row>
    <row r="736" spans="1:4" ht="12.75">
      <c r="A736" s="16"/>
      <c r="B736" s="17"/>
      <c r="C736" s="17"/>
      <c r="D736" s="16"/>
    </row>
    <row r="737" spans="1:4" ht="12.75">
      <c r="A737" s="16"/>
      <c r="B737" s="17"/>
      <c r="C737" s="17"/>
      <c r="D737" s="16"/>
    </row>
    <row r="738" spans="1:4" ht="12.75">
      <c r="A738" s="16"/>
      <c r="B738" s="17"/>
      <c r="C738" s="17"/>
      <c r="D738" s="16"/>
    </row>
    <row r="739" spans="1:4" ht="12.75">
      <c r="A739" s="16"/>
      <c r="B739" s="17"/>
      <c r="C739" s="17"/>
      <c r="D739" s="16"/>
    </row>
    <row r="740" spans="1:4" ht="12.75">
      <c r="A740" s="16"/>
      <c r="B740" s="17"/>
      <c r="C740" s="17"/>
      <c r="D740" s="16"/>
    </row>
    <row r="741" spans="1:4" ht="13.5" thickBot="1">
      <c r="A741" s="16"/>
      <c r="B741" s="17"/>
      <c r="C741" s="17"/>
      <c r="D741" s="16"/>
    </row>
    <row r="742" spans="1:4" ht="13.5" thickBot="1">
      <c r="A742" s="154" t="s">
        <v>303</v>
      </c>
      <c r="B742" s="17"/>
      <c r="C742" s="17"/>
      <c r="D742" s="16"/>
    </row>
    <row r="743" spans="1:4" ht="15.75">
      <c r="A743" s="36" t="s">
        <v>294</v>
      </c>
      <c r="B743" s="37" t="s">
        <v>295</v>
      </c>
      <c r="C743" s="143">
        <f>((1-C744)*((1/C747)+(1/C748))*C745)/C744</f>
        <v>0.2814261112416922</v>
      </c>
      <c r="D743" s="16"/>
    </row>
    <row r="744" spans="1:4" ht="12.75">
      <c r="A744" s="38" t="s">
        <v>289</v>
      </c>
      <c r="B744" s="144" t="s">
        <v>296</v>
      </c>
      <c r="C744" s="145">
        <v>0.934</v>
      </c>
      <c r="D744" s="16"/>
    </row>
    <row r="745" spans="1:4" ht="12.75">
      <c r="A745" s="38" t="s">
        <v>297</v>
      </c>
      <c r="B745" s="20" t="s">
        <v>73</v>
      </c>
      <c r="C745" s="146">
        <f>C747+C748-2</f>
        <v>191</v>
      </c>
      <c r="D745" s="16"/>
    </row>
    <row r="746" spans="1:4" ht="12.75">
      <c r="A746" s="38" t="s">
        <v>298</v>
      </c>
      <c r="B746" s="25"/>
      <c r="C746" s="39"/>
      <c r="D746" s="16"/>
    </row>
    <row r="747" spans="1:4" ht="14.25">
      <c r="A747" s="114" t="s">
        <v>114</v>
      </c>
      <c r="B747" s="117" t="s">
        <v>266</v>
      </c>
      <c r="C747" s="124">
        <v>104</v>
      </c>
      <c r="D747" s="16"/>
    </row>
    <row r="748" spans="1:4" ht="14.25">
      <c r="A748" s="114" t="s">
        <v>116</v>
      </c>
      <c r="B748" s="117" t="s">
        <v>267</v>
      </c>
      <c r="C748" s="124">
        <v>89</v>
      </c>
      <c r="D748" s="16"/>
    </row>
    <row r="749" spans="1:4" ht="15.75">
      <c r="A749" s="38" t="s">
        <v>299</v>
      </c>
      <c r="B749" s="147" t="s">
        <v>300</v>
      </c>
      <c r="C749" s="39">
        <f>1-C744</f>
        <v>0.06599999999999995</v>
      </c>
      <c r="D749" s="16" t="s">
        <v>301</v>
      </c>
    </row>
    <row r="750" spans="1:4" ht="12.75">
      <c r="A750" s="38" t="s">
        <v>302</v>
      </c>
      <c r="B750" s="25" t="s">
        <v>310</v>
      </c>
      <c r="C750" s="39">
        <f>C749^0.5</f>
        <v>0.2569046515733025</v>
      </c>
      <c r="D750" s="16"/>
    </row>
    <row r="751" spans="1:4" ht="15.75">
      <c r="A751" s="38" t="s">
        <v>304</v>
      </c>
      <c r="B751" s="144" t="s">
        <v>306</v>
      </c>
      <c r="C751" s="145">
        <v>0.035</v>
      </c>
      <c r="D751" s="16"/>
    </row>
    <row r="752" spans="1:4" ht="15.75">
      <c r="A752" s="38" t="s">
        <v>305</v>
      </c>
      <c r="B752" s="144" t="s">
        <v>307</v>
      </c>
      <c r="C752" s="145">
        <v>0.058</v>
      </c>
      <c r="D752" s="16"/>
    </row>
    <row r="753" spans="1:4" ht="12.75">
      <c r="A753" s="38" t="s">
        <v>308</v>
      </c>
      <c r="B753" s="25" t="s">
        <v>311</v>
      </c>
      <c r="C753" s="39">
        <f>C751^0.5</f>
        <v>0.18708286933869708</v>
      </c>
      <c r="D753" s="16"/>
    </row>
    <row r="754" spans="1:4" ht="12.75">
      <c r="A754" s="38" t="s">
        <v>309</v>
      </c>
      <c r="B754" s="25" t="s">
        <v>312</v>
      </c>
      <c r="C754" s="39">
        <f>C752^0.5</f>
        <v>0.24083189157584592</v>
      </c>
      <c r="D754" s="16"/>
    </row>
    <row r="755" spans="1:4" ht="13.5" thickBot="1">
      <c r="A755" s="40" t="s">
        <v>313</v>
      </c>
      <c r="B755" s="41" t="s">
        <v>313</v>
      </c>
      <c r="C755" s="148">
        <f>(C751+C752)/2</f>
        <v>0.0465</v>
      </c>
      <c r="D755" s="16" t="s">
        <v>314</v>
      </c>
    </row>
    <row r="756" spans="1:4" ht="12.75">
      <c r="A756" s="16"/>
      <c r="B756" s="17"/>
      <c r="C756" s="17"/>
      <c r="D756" s="16"/>
    </row>
    <row r="757" spans="1:4" ht="12.75">
      <c r="A757" s="16"/>
      <c r="B757" s="17"/>
      <c r="C757" s="17"/>
      <c r="D757" s="16"/>
    </row>
    <row r="758" spans="1:4" ht="13.5" thickBot="1">
      <c r="A758" s="16"/>
      <c r="B758" s="17"/>
      <c r="C758" s="17"/>
      <c r="D758" s="16"/>
    </row>
    <row r="759" spans="1:4" ht="13.5" thickBot="1">
      <c r="A759" s="154" t="s">
        <v>315</v>
      </c>
      <c r="B759" s="17"/>
      <c r="C759" s="17"/>
      <c r="D759" s="16"/>
    </row>
    <row r="760" spans="1:4" ht="12.75">
      <c r="A760" s="36" t="s">
        <v>316</v>
      </c>
      <c r="B760" s="149" t="s">
        <v>318</v>
      </c>
      <c r="C760" s="150">
        <v>2.278</v>
      </c>
      <c r="D760" s="16"/>
    </row>
    <row r="761" spans="1:4" ht="12.75">
      <c r="A761" s="38" t="s">
        <v>317</v>
      </c>
      <c r="B761" s="151" t="s">
        <v>319</v>
      </c>
      <c r="C761" s="145">
        <v>63.338</v>
      </c>
      <c r="D761" s="16"/>
    </row>
    <row r="762" spans="1:4" ht="12.75">
      <c r="A762" s="38" t="s">
        <v>151</v>
      </c>
      <c r="B762" s="25" t="s">
        <v>320</v>
      </c>
      <c r="C762" s="39">
        <f>SUM(C760:C761)</f>
        <v>65.616</v>
      </c>
      <c r="D762" s="16"/>
    </row>
    <row r="763" spans="1:4" ht="15.75">
      <c r="A763" s="38" t="s">
        <v>191</v>
      </c>
      <c r="B763" s="147" t="s">
        <v>300</v>
      </c>
      <c r="C763" s="39">
        <f>C760/C761</f>
        <v>0.035965770943193656</v>
      </c>
      <c r="D763" s="16"/>
    </row>
    <row r="764" spans="1:4" ht="15.75">
      <c r="A764" s="38" t="s">
        <v>323</v>
      </c>
      <c r="B764" s="147" t="s">
        <v>321</v>
      </c>
      <c r="C764" s="39">
        <f>((C760-(C765*C768)))/((C760+(C769-C765)*C768))</f>
        <v>0.029514145529126158</v>
      </c>
      <c r="D764" s="16"/>
    </row>
    <row r="765" spans="1:4" ht="14.25">
      <c r="A765" s="38" t="s">
        <v>322</v>
      </c>
      <c r="B765" s="20" t="s">
        <v>324</v>
      </c>
      <c r="C765" s="146">
        <f>C767-1</f>
        <v>1</v>
      </c>
      <c r="D765" s="16"/>
    </row>
    <row r="766" spans="1:4" ht="14.25">
      <c r="A766" s="38" t="s">
        <v>328</v>
      </c>
      <c r="B766" s="20" t="s">
        <v>329</v>
      </c>
      <c r="C766" s="146">
        <f>C769-C767</f>
        <v>191</v>
      </c>
      <c r="D766" s="16"/>
    </row>
    <row r="767" spans="1:4" ht="12.75">
      <c r="A767" s="38" t="s">
        <v>325</v>
      </c>
      <c r="B767" s="151" t="s">
        <v>326</v>
      </c>
      <c r="C767" s="145">
        <v>2</v>
      </c>
      <c r="D767" s="16"/>
    </row>
    <row r="768" spans="1:4" ht="14.25">
      <c r="A768" s="38" t="s">
        <v>215</v>
      </c>
      <c r="B768" s="25" t="s">
        <v>327</v>
      </c>
      <c r="C768" s="39">
        <f>C761/C766</f>
        <v>0.3316125654450262</v>
      </c>
      <c r="D768" s="16"/>
    </row>
    <row r="769" spans="1:4" ht="13.5" thickBot="1">
      <c r="A769" s="40" t="s">
        <v>99</v>
      </c>
      <c r="B769" s="152" t="s">
        <v>2</v>
      </c>
      <c r="C769" s="153">
        <v>193</v>
      </c>
      <c r="D769" s="16"/>
    </row>
    <row r="770" spans="1:4" ht="13.5" thickBot="1">
      <c r="A770" s="19"/>
      <c r="B770" s="20"/>
      <c r="C770" s="20"/>
      <c r="D770" s="22"/>
    </row>
    <row r="771" spans="1:4" ht="13.5" thickBot="1">
      <c r="A771" s="168" t="s">
        <v>344</v>
      </c>
      <c r="B771" s="20"/>
      <c r="C771" s="20"/>
      <c r="D771" s="22"/>
    </row>
    <row r="772" spans="1:4" ht="12.75">
      <c r="A772" s="36" t="s">
        <v>316</v>
      </c>
      <c r="B772" s="149" t="s">
        <v>318</v>
      </c>
      <c r="C772" s="150">
        <v>1.212</v>
      </c>
      <c r="D772" s="22"/>
    </row>
    <row r="773" spans="1:4" ht="12.75">
      <c r="A773" s="38" t="s">
        <v>317</v>
      </c>
      <c r="B773" s="151" t="s">
        <v>319</v>
      </c>
      <c r="C773" s="145">
        <v>64.785</v>
      </c>
      <c r="D773" s="22">
        <f>C773/C778</f>
        <v>0.21813131313131312</v>
      </c>
    </row>
    <row r="774" spans="1:4" ht="12.75">
      <c r="A774" s="38" t="s">
        <v>151</v>
      </c>
      <c r="B774" s="25" t="s">
        <v>320</v>
      </c>
      <c r="C774" s="39">
        <f>SUM(C772:C773)</f>
        <v>65.997</v>
      </c>
      <c r="D774" s="22"/>
    </row>
    <row r="775" spans="1:4" ht="15.75">
      <c r="A775" s="38" t="s">
        <v>191</v>
      </c>
      <c r="B775" s="25" t="s">
        <v>300</v>
      </c>
      <c r="C775" s="39">
        <f>C772/C774</f>
        <v>0.018364471112323286</v>
      </c>
      <c r="D775" s="22"/>
    </row>
    <row r="776" spans="1:4" ht="12.75">
      <c r="A776" s="169" t="s">
        <v>374</v>
      </c>
      <c r="B776" s="151"/>
      <c r="C776" s="145">
        <v>4.363636363636363</v>
      </c>
      <c r="D776" s="22"/>
    </row>
    <row r="777" spans="1:4" ht="12.75">
      <c r="A777" s="159" t="s">
        <v>375</v>
      </c>
      <c r="B777" s="151"/>
      <c r="C777" s="145">
        <v>4.275805369127519</v>
      </c>
      <c r="D777" s="22"/>
    </row>
    <row r="778" spans="1:4" ht="12.75">
      <c r="A778" s="159" t="s">
        <v>376</v>
      </c>
      <c r="B778" s="151"/>
      <c r="C778" s="145">
        <v>297</v>
      </c>
      <c r="D778" s="161"/>
    </row>
    <row r="779" spans="1:4" ht="12.75">
      <c r="A779" s="169" t="s">
        <v>376</v>
      </c>
      <c r="B779" s="151"/>
      <c r="C779" s="145">
        <v>297</v>
      </c>
      <c r="D779" s="161"/>
    </row>
    <row r="780" spans="1:4" ht="12.75">
      <c r="A780" s="169" t="s">
        <v>377</v>
      </c>
      <c r="B780" s="151"/>
      <c r="C780" s="145">
        <v>0.5565110565110574</v>
      </c>
      <c r="D780" s="22"/>
    </row>
    <row r="781" spans="1:4" ht="12.75">
      <c r="A781" s="159" t="s">
        <v>382</v>
      </c>
      <c r="B781" s="151"/>
      <c r="C781" s="145">
        <v>0.38414766569496617</v>
      </c>
      <c r="D781" s="22"/>
    </row>
    <row r="782" spans="1:4" ht="12.75">
      <c r="A782" s="159" t="s">
        <v>378</v>
      </c>
      <c r="B782" s="19"/>
      <c r="C782" s="146">
        <f>C780^0.5</f>
        <v>0.7459966866622515</v>
      </c>
      <c r="D782" s="22"/>
    </row>
    <row r="783" spans="1:4" ht="12.75">
      <c r="A783" s="159" t="s">
        <v>379</v>
      </c>
      <c r="B783" s="19"/>
      <c r="C783" s="146">
        <f>C781^0.5</f>
        <v>0.6197964711862808</v>
      </c>
      <c r="D783" s="22"/>
    </row>
    <row r="784" spans="1:4" ht="12.75">
      <c r="A784" s="169" t="s">
        <v>380</v>
      </c>
      <c r="B784" s="20"/>
      <c r="C784" s="146">
        <f>C782/C778^0.5</f>
        <v>0.04328711818829398</v>
      </c>
      <c r="D784" s="22"/>
    </row>
    <row r="785" spans="1:4" ht="12.75">
      <c r="A785" s="159" t="s">
        <v>381</v>
      </c>
      <c r="B785" s="20"/>
      <c r="C785" s="146">
        <f>C783/C779^0.5</f>
        <v>0.03596423895790699</v>
      </c>
      <c r="D785" s="22"/>
    </row>
    <row r="786" spans="1:4" ht="12.75">
      <c r="A786" s="169" t="s">
        <v>373</v>
      </c>
      <c r="B786" s="20"/>
      <c r="C786" s="146">
        <f>C780+C781</f>
        <v>0.9406587222060235</v>
      </c>
      <c r="D786" s="22">
        <f>((C780+C781)^2)^0.5</f>
        <v>0.9406587222060235</v>
      </c>
    </row>
    <row r="787" spans="1:4" ht="12.75">
      <c r="A787" s="169" t="s">
        <v>372</v>
      </c>
      <c r="B787" s="20"/>
      <c r="C787" s="146">
        <f>(C778-1)*C786</f>
        <v>278.43498177298295</v>
      </c>
      <c r="D787" s="22"/>
    </row>
    <row r="788" spans="1:4" ht="15.75">
      <c r="A788" s="38" t="s">
        <v>383</v>
      </c>
      <c r="B788" s="25" t="s">
        <v>392</v>
      </c>
      <c r="C788" s="39">
        <f>C772/(C772+C787)</f>
        <v>0.004334035691412897</v>
      </c>
      <c r="D788" s="22"/>
    </row>
    <row r="789" spans="1:4" ht="15.75">
      <c r="A789" s="170" t="s">
        <v>391</v>
      </c>
      <c r="B789" s="165" t="s">
        <v>393</v>
      </c>
      <c r="C789" s="171">
        <f>((C772-(C792*C786))/((C772+(C778+C779-C792)*C786)))</f>
        <v>0.0004853851471932199</v>
      </c>
      <c r="D789" s="22"/>
    </row>
    <row r="790" spans="1:4" ht="12.75">
      <c r="A790" s="38" t="s">
        <v>396</v>
      </c>
      <c r="B790" s="25"/>
      <c r="C790" s="39">
        <f>C773/(C778-1)</f>
        <v>0.21886824324324322</v>
      </c>
      <c r="D790" s="16"/>
    </row>
    <row r="791" spans="1:4" ht="12.75">
      <c r="A791" s="38" t="s">
        <v>394</v>
      </c>
      <c r="B791" s="25"/>
      <c r="C791" s="128">
        <f>C787/(C778+C779-2)</f>
        <v>0.47032936110301177</v>
      </c>
      <c r="D791" s="16"/>
    </row>
    <row r="792" spans="1:4" ht="12.75">
      <c r="A792" s="38" t="s">
        <v>395</v>
      </c>
      <c r="B792" s="151"/>
      <c r="C792" s="145">
        <v>1</v>
      </c>
      <c r="D792" s="16"/>
    </row>
    <row r="793" spans="1:4" ht="13.5" thickBot="1">
      <c r="A793" s="105" t="s">
        <v>323</v>
      </c>
      <c r="B793" s="157"/>
      <c r="C793" s="158">
        <f>((C772-(C792*C790))/((C772+(C778+C779-C792)*C790)))</f>
        <v>0.007581108202372397</v>
      </c>
      <c r="D793" s="16"/>
    </row>
    <row r="794" spans="1:4" ht="13.5" thickBot="1">
      <c r="A794" s="16"/>
      <c r="B794" s="17"/>
      <c r="C794" s="17"/>
      <c r="D794" s="16"/>
    </row>
    <row r="795" spans="1:4" ht="13.5" thickBot="1">
      <c r="A795" s="178" t="s">
        <v>431</v>
      </c>
      <c r="B795" s="17"/>
      <c r="C795" s="17"/>
      <c r="D795" s="16"/>
    </row>
    <row r="796" spans="1:4" ht="12.75">
      <c r="A796" s="57" t="s">
        <v>278</v>
      </c>
      <c r="B796" s="58" t="s">
        <v>276</v>
      </c>
      <c r="C796" s="59">
        <f>C802*(C800)</f>
        <v>165.429</v>
      </c>
      <c r="D796" s="16"/>
    </row>
    <row r="797" spans="1:4" ht="12.75">
      <c r="A797" s="60" t="s">
        <v>279</v>
      </c>
      <c r="B797" s="50" t="s">
        <v>277</v>
      </c>
      <c r="C797" s="64">
        <f>C803*(C801)</f>
        <v>114.048</v>
      </c>
      <c r="D797" s="16"/>
    </row>
    <row r="798" spans="1:4" ht="12.75">
      <c r="A798" s="60" t="s">
        <v>113</v>
      </c>
      <c r="B798" s="179" t="s">
        <v>284</v>
      </c>
      <c r="C798" s="180">
        <v>0.43067</v>
      </c>
      <c r="D798" s="16"/>
    </row>
    <row r="799" spans="1:4" ht="12.75">
      <c r="A799" s="60" t="s">
        <v>98</v>
      </c>
      <c r="B799" s="51" t="s">
        <v>2</v>
      </c>
      <c r="C799" s="61">
        <v>297</v>
      </c>
      <c r="D799" s="16"/>
    </row>
    <row r="800" spans="1:4" ht="14.25">
      <c r="A800" s="60" t="s">
        <v>114</v>
      </c>
      <c r="B800" s="51" t="s">
        <v>424</v>
      </c>
      <c r="C800" s="61">
        <v>297</v>
      </c>
      <c r="D800" s="16"/>
    </row>
    <row r="801" spans="1:4" ht="14.25">
      <c r="A801" s="60" t="s">
        <v>116</v>
      </c>
      <c r="B801" s="51" t="s">
        <v>425</v>
      </c>
      <c r="C801" s="61">
        <v>297</v>
      </c>
      <c r="D801" s="16"/>
    </row>
    <row r="802" spans="1:4" ht="15.75">
      <c r="A802" s="60" t="s">
        <v>118</v>
      </c>
      <c r="B802" s="51" t="s">
        <v>426</v>
      </c>
      <c r="C802" s="61">
        <v>0.557</v>
      </c>
      <c r="D802" s="16"/>
    </row>
    <row r="803" spans="1:4" ht="15.75">
      <c r="A803" s="60" t="s">
        <v>119</v>
      </c>
      <c r="B803" s="51" t="s">
        <v>427</v>
      </c>
      <c r="C803" s="61">
        <v>0.384</v>
      </c>
      <c r="D803" s="16"/>
    </row>
    <row r="804" spans="1:4" ht="12.75">
      <c r="A804" s="181" t="s">
        <v>378</v>
      </c>
      <c r="B804" s="182"/>
      <c r="C804" s="63">
        <f>C802^0.5</f>
        <v>0.7463243262818117</v>
      </c>
      <c r="D804" s="16"/>
    </row>
    <row r="805" spans="1:4" ht="12.75">
      <c r="A805" s="181" t="s">
        <v>379</v>
      </c>
      <c r="B805" s="182"/>
      <c r="C805" s="63">
        <f>C803^0.5</f>
        <v>0.6196773353931867</v>
      </c>
      <c r="D805" s="16"/>
    </row>
    <row r="806" spans="1:4" ht="12.75">
      <c r="A806" s="60" t="s">
        <v>120</v>
      </c>
      <c r="B806" s="179" t="s">
        <v>282</v>
      </c>
      <c r="C806" s="180">
        <v>0.038</v>
      </c>
      <c r="D806" s="101"/>
    </row>
    <row r="807" spans="1:4" ht="14.25">
      <c r="A807" s="60" t="s">
        <v>121</v>
      </c>
      <c r="B807" s="50" t="s">
        <v>428</v>
      </c>
      <c r="C807" s="64">
        <f>((C799-C800)/(C799-1))^0.5</f>
        <v>0</v>
      </c>
      <c r="D807" s="16"/>
    </row>
    <row r="808" spans="1:4" ht="12.75">
      <c r="A808" s="60" t="s">
        <v>122</v>
      </c>
      <c r="B808" s="50" t="s">
        <v>123</v>
      </c>
      <c r="C808" s="64">
        <f>((C799-C801)/(C799-1))^0.5</f>
        <v>0</v>
      </c>
      <c r="D808" s="16"/>
    </row>
    <row r="809" spans="1:4" ht="12.75">
      <c r="A809" s="60" t="s">
        <v>59</v>
      </c>
      <c r="B809" s="50" t="s">
        <v>60</v>
      </c>
      <c r="C809" s="64">
        <f>1-C810</f>
        <v>0.95</v>
      </c>
      <c r="D809" s="16"/>
    </row>
    <row r="810" spans="1:4" ht="12.75">
      <c r="A810" s="60" t="s">
        <v>61</v>
      </c>
      <c r="B810" s="51" t="s">
        <v>61</v>
      </c>
      <c r="C810" s="61">
        <v>0.05</v>
      </c>
      <c r="D810" s="16"/>
    </row>
    <row r="811" spans="1:4" ht="12.75">
      <c r="A811" s="60" t="s">
        <v>62</v>
      </c>
      <c r="B811" s="50" t="s">
        <v>83</v>
      </c>
      <c r="C811" s="64">
        <f>1-(C810/2)</f>
        <v>0.975</v>
      </c>
      <c r="D811" s="16"/>
    </row>
    <row r="812" spans="1:4" ht="12.75">
      <c r="A812" s="60" t="s">
        <v>111</v>
      </c>
      <c r="B812" s="50" t="s">
        <v>71</v>
      </c>
      <c r="C812" s="64">
        <f>TINV(C810,C813)</f>
        <v>1.9680106640474033</v>
      </c>
      <c r="D812" s="16"/>
    </row>
    <row r="813" spans="1:4" ht="12.75">
      <c r="A813" s="60" t="s">
        <v>112</v>
      </c>
      <c r="B813" s="50" t="s">
        <v>73</v>
      </c>
      <c r="C813" s="64">
        <f>C800-1</f>
        <v>296</v>
      </c>
      <c r="D813" s="16"/>
    </row>
    <row r="814" spans="1:4" ht="14.25">
      <c r="A814" s="60" t="s">
        <v>82</v>
      </c>
      <c r="B814" s="51" t="s">
        <v>429</v>
      </c>
      <c r="C814" s="61">
        <v>4.364</v>
      </c>
      <c r="D814" s="16"/>
    </row>
    <row r="815" spans="1:4" ht="14.25">
      <c r="A815" s="60" t="s">
        <v>124</v>
      </c>
      <c r="B815" s="51" t="s">
        <v>430</v>
      </c>
      <c r="C815" s="61">
        <v>4.276</v>
      </c>
      <c r="D815" s="16"/>
    </row>
    <row r="816" spans="1:4" ht="12.75">
      <c r="A816" s="60" t="s">
        <v>125</v>
      </c>
      <c r="B816" s="50" t="s">
        <v>108</v>
      </c>
      <c r="C816" s="64">
        <f>(C814-C815)-((C812*C806))</f>
        <v>0.013215594766198754</v>
      </c>
      <c r="D816" s="16"/>
    </row>
    <row r="817" spans="1:4" ht="13.5" thickBot="1">
      <c r="A817" s="65" t="s">
        <v>126</v>
      </c>
      <c r="B817" s="66" t="s">
        <v>110</v>
      </c>
      <c r="C817" s="67">
        <f>(C814-C815)+((C812*C806))</f>
        <v>0.1627844052338014</v>
      </c>
      <c r="D817" s="16"/>
    </row>
    <row r="820" spans="1:29" ht="27" thickBot="1">
      <c r="A820" s="205" t="s">
        <v>506</v>
      </c>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row>
    <row r="821" spans="1:4" ht="13.5" thickBot="1">
      <c r="A821" s="54" t="s">
        <v>23</v>
      </c>
      <c r="B821" s="55" t="s">
        <v>24</v>
      </c>
      <c r="C821" s="56">
        <f>NORMSDIST(C825)</f>
        <v>0.5015240332810591</v>
      </c>
      <c r="D821" s="18" t="s">
        <v>25</v>
      </c>
    </row>
    <row r="822" spans="1:4" ht="12.75">
      <c r="A822" s="19"/>
      <c r="B822" s="20"/>
      <c r="C822" s="20"/>
      <c r="D822" s="21"/>
    </row>
    <row r="823" spans="1:4" ht="13.5" thickBot="1">
      <c r="A823" s="16"/>
      <c r="B823" s="17"/>
      <c r="C823" s="17"/>
      <c r="D823" s="18"/>
    </row>
    <row r="824" spans="1:4" ht="13.5" thickBot="1">
      <c r="A824" s="23" t="s">
        <v>26</v>
      </c>
      <c r="B824" s="17"/>
      <c r="C824" s="17"/>
      <c r="D824" s="16"/>
    </row>
    <row r="825" spans="1:9" ht="12.75">
      <c r="A825" s="57" t="s">
        <v>27</v>
      </c>
      <c r="B825" s="58" t="s">
        <v>28</v>
      </c>
      <c r="C825" s="59">
        <f>(C826-C827)/C868</f>
        <v>0.0038201942056728796</v>
      </c>
      <c r="D825" s="16"/>
      <c r="F825" s="217" t="s">
        <v>0</v>
      </c>
      <c r="G825" s="217"/>
      <c r="H825" s="217"/>
      <c r="I825" s="217"/>
    </row>
    <row r="826" spans="1:9" ht="12.75">
      <c r="A826" s="60" t="s">
        <v>29</v>
      </c>
      <c r="B826" s="51" t="s">
        <v>30</v>
      </c>
      <c r="C826" s="61">
        <v>2.833333333333334</v>
      </c>
      <c r="D826" s="16"/>
      <c r="F826" s="217" t="s">
        <v>507</v>
      </c>
      <c r="G826" s="217"/>
      <c r="H826" s="217"/>
      <c r="I826" s="217"/>
    </row>
    <row r="827" spans="1:10" ht="12.75">
      <c r="A827" s="60" t="s">
        <v>31</v>
      </c>
      <c r="B827" s="51" t="s">
        <v>32</v>
      </c>
      <c r="C827" s="61">
        <v>2.830508474576271</v>
      </c>
      <c r="D827" s="16"/>
      <c r="F827" s="217" t="s">
        <v>508</v>
      </c>
      <c r="G827" s="217" t="s">
        <v>3</v>
      </c>
      <c r="H827" s="217" t="s">
        <v>4</v>
      </c>
      <c r="I827" s="217" t="s">
        <v>2</v>
      </c>
      <c r="J827" s="219" t="s">
        <v>498</v>
      </c>
    </row>
    <row r="828" spans="1:10" ht="12.75">
      <c r="A828" s="60" t="s">
        <v>33</v>
      </c>
      <c r="B828" s="51" t="s">
        <v>34</v>
      </c>
      <c r="C828" s="61">
        <v>0.576</v>
      </c>
      <c r="D828" s="16" t="s">
        <v>35</v>
      </c>
      <c r="F828" s="217" t="s">
        <v>509</v>
      </c>
      <c r="G828" s="217">
        <v>2.833333333333334</v>
      </c>
      <c r="H828" s="217">
        <v>0.7404174696413538</v>
      </c>
      <c r="I828" s="217">
        <v>54</v>
      </c>
      <c r="J828">
        <f>H828^2</f>
        <v>0.5482180293501051</v>
      </c>
    </row>
    <row r="829" spans="1:10" ht="15.75">
      <c r="A829" s="60" t="s">
        <v>36</v>
      </c>
      <c r="B829" s="50" t="s">
        <v>203</v>
      </c>
      <c r="C829" s="64">
        <f>C825^2/(4+C825^2)</f>
        <v>3.6484576309725104E-06</v>
      </c>
      <c r="D829" s="16"/>
      <c r="F829" s="217" t="s">
        <v>437</v>
      </c>
      <c r="G829" s="217">
        <v>2.830508474576271</v>
      </c>
      <c r="H829" s="217">
        <v>0.7385729259057403</v>
      </c>
      <c r="I829" s="217">
        <v>59</v>
      </c>
      <c r="J829">
        <f>H829^2</f>
        <v>0.5454899668809662</v>
      </c>
    </row>
    <row r="830" spans="1:9" ht="12.75">
      <c r="A830" s="60" t="s">
        <v>37</v>
      </c>
      <c r="B830" s="50" t="s">
        <v>38</v>
      </c>
      <c r="C830" s="64">
        <f>C829^0.5</f>
        <v>0.0019100936183790863</v>
      </c>
      <c r="D830" s="16" t="s">
        <v>39</v>
      </c>
      <c r="F830" s="217" t="s">
        <v>198</v>
      </c>
      <c r="G830" s="217">
        <v>2.8318584070796455</v>
      </c>
      <c r="H830" s="217">
        <v>0.7361470557632814</v>
      </c>
      <c r="I830" s="217">
        <v>113</v>
      </c>
    </row>
    <row r="831" spans="1:4" ht="12.75">
      <c r="A831" s="60" t="s">
        <v>40</v>
      </c>
      <c r="B831" s="51" t="s">
        <v>41</v>
      </c>
      <c r="C831" s="61">
        <v>54</v>
      </c>
      <c r="D831" s="16"/>
    </row>
    <row r="832" spans="1:4" ht="12.75">
      <c r="A832" s="60" t="s">
        <v>42</v>
      </c>
      <c r="B832" s="51" t="s">
        <v>43</v>
      </c>
      <c r="C832" s="61">
        <v>59</v>
      </c>
      <c r="D832" s="16"/>
    </row>
    <row r="833" spans="1:14" ht="12.75">
      <c r="A833" s="60" t="s">
        <v>44</v>
      </c>
      <c r="B833" s="51" t="s">
        <v>2</v>
      </c>
      <c r="C833" s="61">
        <v>43403</v>
      </c>
      <c r="D833" s="16"/>
      <c r="F833" s="217" t="s">
        <v>187</v>
      </c>
      <c r="G833" s="217"/>
      <c r="H833" s="217"/>
      <c r="I833" s="217"/>
      <c r="J833" s="217"/>
      <c r="K833" s="217"/>
      <c r="L833" s="217"/>
      <c r="M833" s="217"/>
      <c r="N833" s="217"/>
    </row>
    <row r="834" spans="1:14" ht="15.75">
      <c r="A834" s="60" t="s">
        <v>45</v>
      </c>
      <c r="B834" s="50" t="s">
        <v>203</v>
      </c>
      <c r="C834" s="64">
        <f>(C825^2)/((C825^2)+((C833^2-2*C833)/(C831*C832))^0.5)</f>
        <v>1.897946726469878E-08</v>
      </c>
      <c r="D834" s="16" t="s">
        <v>46</v>
      </c>
      <c r="F834" s="217" t="s">
        <v>507</v>
      </c>
      <c r="G834" s="217"/>
      <c r="H834" s="217"/>
      <c r="I834" s="217"/>
      <c r="J834" s="217"/>
      <c r="K834" s="217"/>
      <c r="L834" s="217"/>
      <c r="M834" s="217"/>
      <c r="N834" s="217"/>
    </row>
    <row r="835" spans="1:14" ht="12.75">
      <c r="A835" s="38"/>
      <c r="B835" s="25"/>
      <c r="C835" s="39">
        <f>C834^0.5</f>
        <v>0.0001377659873288715</v>
      </c>
      <c r="D835" s="16"/>
      <c r="F835" s="217" t="s">
        <v>188</v>
      </c>
      <c r="G835" s="217" t="s">
        <v>189</v>
      </c>
      <c r="H835" s="217" t="s">
        <v>175</v>
      </c>
      <c r="I835" s="217" t="s">
        <v>190</v>
      </c>
      <c r="J835" s="217" t="s">
        <v>173</v>
      </c>
      <c r="K835" s="217" t="s">
        <v>183</v>
      </c>
      <c r="L835" s="217" t="s">
        <v>191</v>
      </c>
      <c r="M835" s="217" t="s">
        <v>192</v>
      </c>
      <c r="N835" s="217" t="s">
        <v>193</v>
      </c>
    </row>
    <row r="836" spans="1:14" ht="15.75">
      <c r="A836" s="60" t="s">
        <v>47</v>
      </c>
      <c r="B836" s="50" t="s">
        <v>203</v>
      </c>
      <c r="C836" s="64">
        <f>C825^2/(4+C825^2)</f>
        <v>3.6484576309725104E-06</v>
      </c>
      <c r="D836" s="16"/>
      <c r="F836" s="217" t="s">
        <v>194</v>
      </c>
      <c r="G836" s="217">
        <v>0.00022498875048171385</v>
      </c>
      <c r="H836" s="217">
        <v>1</v>
      </c>
      <c r="I836" s="217">
        <v>0.00022498875048171385</v>
      </c>
      <c r="J836" s="217">
        <v>0.00041147003249120134</v>
      </c>
      <c r="K836" s="217">
        <v>0.9838526600422592</v>
      </c>
      <c r="L836" s="217">
        <v>3.7069234883177764E-06</v>
      </c>
      <c r="M836" s="217">
        <v>0.00041147003249120134</v>
      </c>
      <c r="N836" s="217">
        <v>0.05004632604795323</v>
      </c>
    </row>
    <row r="837" spans="1:14" ht="12.75">
      <c r="A837" s="60"/>
      <c r="B837" s="50" t="s">
        <v>38</v>
      </c>
      <c r="C837" s="64">
        <f>C836^0.5</f>
        <v>0.0019100936183790863</v>
      </c>
      <c r="D837" s="16"/>
      <c r="F837" s="217" t="s">
        <v>195</v>
      </c>
      <c r="G837" s="217">
        <v>904.4604019799008</v>
      </c>
      <c r="H837" s="217">
        <v>1</v>
      </c>
      <c r="I837" s="217">
        <v>904.4604019799008</v>
      </c>
      <c r="J837" s="217">
        <v>1654.1198179591752</v>
      </c>
      <c r="K837" s="217">
        <v>1.6278119992270806E-68</v>
      </c>
      <c r="L837" s="217">
        <v>0.9371147505848426</v>
      </c>
      <c r="M837" s="217">
        <v>1654.1198179591752</v>
      </c>
      <c r="N837" s="217">
        <v>1</v>
      </c>
    </row>
    <row r="838" spans="1:14" ht="12.75">
      <c r="A838" s="60" t="s">
        <v>40</v>
      </c>
      <c r="B838" s="50" t="s">
        <v>41</v>
      </c>
      <c r="C838" s="64">
        <v>104</v>
      </c>
      <c r="D838" s="16"/>
      <c r="F838" s="217" t="s">
        <v>196</v>
      </c>
      <c r="G838" s="217">
        <v>0.00022498875056253397</v>
      </c>
      <c r="H838" s="217">
        <v>1</v>
      </c>
      <c r="I838" s="217">
        <v>0.00022498875056253397</v>
      </c>
      <c r="J838" s="217">
        <v>0.000411470032639009</v>
      </c>
      <c r="K838" s="217">
        <v>0.9838526600393595</v>
      </c>
      <c r="L838" s="217">
        <v>3.706923489649367E-06</v>
      </c>
      <c r="M838" s="217">
        <v>0.000411470032639009</v>
      </c>
      <c r="N838" s="217">
        <v>0.05004632604796999</v>
      </c>
    </row>
    <row r="839" spans="1:14" ht="12.75">
      <c r="A839" s="60" t="s">
        <v>42</v>
      </c>
      <c r="B839" s="50" t="s">
        <v>43</v>
      </c>
      <c r="C839" s="64">
        <v>89</v>
      </c>
      <c r="D839" s="16"/>
      <c r="F839" s="217" t="s">
        <v>197</v>
      </c>
      <c r="G839" s="217">
        <v>60.69397363465166</v>
      </c>
      <c r="H839" s="217">
        <v>111</v>
      </c>
      <c r="I839" s="217">
        <v>0.5467925552671321</v>
      </c>
      <c r="J839" s="217"/>
      <c r="K839" s="217"/>
      <c r="L839" s="217"/>
      <c r="M839" s="217"/>
      <c r="N839" s="217"/>
    </row>
    <row r="840" spans="1:14" ht="12.75">
      <c r="A840" s="60" t="s">
        <v>44</v>
      </c>
      <c r="B840" s="50" t="s">
        <v>2</v>
      </c>
      <c r="C840" s="64">
        <v>436</v>
      </c>
      <c r="D840" s="16"/>
      <c r="F840" s="217" t="s">
        <v>198</v>
      </c>
      <c r="G840" s="217">
        <v>966.8888888888887</v>
      </c>
      <c r="H840" s="217">
        <v>113</v>
      </c>
      <c r="I840" s="217"/>
      <c r="J840" s="217"/>
      <c r="K840" s="217"/>
      <c r="L840" s="217"/>
      <c r="M840" s="217"/>
      <c r="N840" s="217"/>
    </row>
    <row r="841" spans="1:14" ht="16.5" thickBot="1">
      <c r="A841" s="65"/>
      <c r="B841" s="66" t="s">
        <v>203</v>
      </c>
      <c r="C841" s="67">
        <f>(C825^2)/((C825^2)+((C840^2-2*C840)/(C838*C839))^0.5)</f>
        <v>3.2276991276724293E-06</v>
      </c>
      <c r="D841" s="16" t="s">
        <v>46</v>
      </c>
      <c r="F841" s="217" t="s">
        <v>199</v>
      </c>
      <c r="G841" s="217">
        <v>60.694198623402144</v>
      </c>
      <c r="H841" s="217">
        <v>112</v>
      </c>
      <c r="I841" s="217"/>
      <c r="J841" s="217"/>
      <c r="K841" s="217"/>
      <c r="L841" s="217"/>
      <c r="M841" s="217"/>
      <c r="N841" s="217"/>
    </row>
    <row r="842" spans="1:14" ht="12.75">
      <c r="A842" s="16"/>
      <c r="B842" s="17"/>
      <c r="C842" s="17"/>
      <c r="D842" s="16"/>
      <c r="F842" s="217" t="s">
        <v>185</v>
      </c>
      <c r="G842" s="217" t="s">
        <v>200</v>
      </c>
      <c r="H842" s="217"/>
      <c r="I842" s="217"/>
      <c r="J842" s="217"/>
      <c r="K842" s="217"/>
      <c r="L842" s="217"/>
      <c r="M842" s="217"/>
      <c r="N842" s="217"/>
    </row>
    <row r="843" spans="1:14" ht="13.5" thickBot="1">
      <c r="A843" s="70" t="s">
        <v>49</v>
      </c>
      <c r="B843" s="17"/>
      <c r="C843" s="17"/>
      <c r="D843" s="16"/>
      <c r="F843" s="217" t="s">
        <v>201</v>
      </c>
      <c r="G843" s="217" t="s">
        <v>510</v>
      </c>
      <c r="H843" s="217"/>
      <c r="I843" s="217"/>
      <c r="J843" s="217"/>
      <c r="K843" s="217"/>
      <c r="L843" s="217"/>
      <c r="M843" s="217"/>
      <c r="N843" s="217"/>
    </row>
    <row r="844" spans="1:4" ht="12.75">
      <c r="A844" s="57" t="s">
        <v>48</v>
      </c>
      <c r="B844" s="58" t="s">
        <v>49</v>
      </c>
      <c r="C844" s="59">
        <f>1-C852</f>
        <v>0.6734251129288407</v>
      </c>
      <c r="D844" s="16" t="s">
        <v>50</v>
      </c>
    </row>
    <row r="845" spans="1:4" ht="12.75">
      <c r="A845" s="60" t="s">
        <v>29</v>
      </c>
      <c r="B845" s="51" t="s">
        <v>30</v>
      </c>
      <c r="C845" s="61">
        <v>3.6341463414634148</v>
      </c>
      <c r="D845" s="16" t="s">
        <v>51</v>
      </c>
    </row>
    <row r="846" spans="1:9" ht="12.75">
      <c r="A846" s="60" t="s">
        <v>31</v>
      </c>
      <c r="B846" s="51" t="s">
        <v>32</v>
      </c>
      <c r="C846" s="61">
        <v>3.0677966101694927</v>
      </c>
      <c r="D846" s="16"/>
      <c r="F846" s="217" t="s">
        <v>180</v>
      </c>
      <c r="G846" s="217"/>
      <c r="H846" s="217"/>
      <c r="I846" s="217"/>
    </row>
    <row r="847" spans="1:9" ht="12.75">
      <c r="A847" s="60" t="s">
        <v>52</v>
      </c>
      <c r="B847" s="62" t="s">
        <v>53</v>
      </c>
      <c r="C847" s="63">
        <f>C849^2</f>
        <v>0.7040048178259561</v>
      </c>
      <c r="D847" s="16"/>
      <c r="F847" s="217" t="s">
        <v>507</v>
      </c>
      <c r="G847" s="217"/>
      <c r="H847" s="217"/>
      <c r="I847" s="217"/>
    </row>
    <row r="848" spans="1:9" ht="12.75">
      <c r="A848" s="60" t="s">
        <v>54</v>
      </c>
      <c r="B848" s="62" t="s">
        <v>55</v>
      </c>
      <c r="C848" s="63">
        <f>C850^2</f>
        <v>0.884253223236274</v>
      </c>
      <c r="D848" s="16"/>
      <c r="F848" s="217" t="s">
        <v>173</v>
      </c>
      <c r="G848" s="217" t="s">
        <v>181</v>
      </c>
      <c r="H848" s="217" t="s">
        <v>182</v>
      </c>
      <c r="I848" s="217" t="s">
        <v>183</v>
      </c>
    </row>
    <row r="849" spans="1:9" ht="14.25">
      <c r="A849" s="60" t="s">
        <v>64</v>
      </c>
      <c r="B849" s="52" t="s">
        <v>207</v>
      </c>
      <c r="C849" s="61">
        <v>0.839049949541716</v>
      </c>
      <c r="D849" s="16"/>
      <c r="F849" s="217">
        <v>0.02302678570045723</v>
      </c>
      <c r="G849" s="217">
        <v>1</v>
      </c>
      <c r="H849" s="217">
        <v>111</v>
      </c>
      <c r="I849" s="217">
        <v>0.8796628973344095</v>
      </c>
    </row>
    <row r="850" spans="1:9" ht="14.25">
      <c r="A850" s="60" t="s">
        <v>65</v>
      </c>
      <c r="B850" s="52" t="s">
        <v>208</v>
      </c>
      <c r="C850" s="61">
        <v>0.9403473949750029</v>
      </c>
      <c r="D850" s="16"/>
      <c r="F850" s="217" t="s">
        <v>184</v>
      </c>
      <c r="G850" s="217"/>
      <c r="H850" s="217"/>
      <c r="I850" s="217"/>
    </row>
    <row r="851" spans="1:9" ht="12.75">
      <c r="A851" s="60" t="s">
        <v>56</v>
      </c>
      <c r="B851" s="50" t="s">
        <v>56</v>
      </c>
      <c r="C851" s="64">
        <f>((0-(C845-C846))/((C847+C848)^0.5))</f>
        <v>-0.44939078984141956</v>
      </c>
      <c r="D851" s="16"/>
      <c r="F851" s="217" t="s">
        <v>185</v>
      </c>
      <c r="G851" s="217" t="s">
        <v>186</v>
      </c>
      <c r="H851" s="217"/>
      <c r="I851" s="217"/>
    </row>
    <row r="852" spans="1:4" ht="13.5" thickBot="1">
      <c r="A852" s="65" t="s">
        <v>23</v>
      </c>
      <c r="B852" s="66" t="s">
        <v>24</v>
      </c>
      <c r="C852" s="67">
        <f>NORMSDIST(C851)</f>
        <v>0.32657488707115934</v>
      </c>
      <c r="D852" s="53"/>
    </row>
    <row r="853" spans="1:4" ht="13.5" thickBot="1">
      <c r="A853" s="16"/>
      <c r="B853" s="17"/>
      <c r="C853" s="17"/>
      <c r="D853" s="16"/>
    </row>
    <row r="854" spans="1:9" ht="13.5" thickBot="1">
      <c r="A854" s="69" t="s">
        <v>209</v>
      </c>
      <c r="B854" s="17"/>
      <c r="C854" s="17"/>
      <c r="D854" s="16"/>
      <c r="F854" s="218" t="s">
        <v>0</v>
      </c>
      <c r="G854" s="218"/>
      <c r="H854" s="218"/>
      <c r="I854" s="218"/>
    </row>
    <row r="855" spans="1:9" ht="12.75">
      <c r="A855" s="57" t="s">
        <v>57</v>
      </c>
      <c r="B855" s="58" t="s">
        <v>58</v>
      </c>
      <c r="C855" s="59">
        <f>(((C856+C857)/(C856*C857))+((C825^2)/(2*(C856+C857))))^0.5</f>
        <v>0.18832879661803806</v>
      </c>
      <c r="D855" s="16"/>
      <c r="F855" s="218" t="s">
        <v>511</v>
      </c>
      <c r="G855" s="218"/>
      <c r="H855" s="218"/>
      <c r="I855" s="218"/>
    </row>
    <row r="856" spans="1:9" ht="12.75">
      <c r="A856" s="60" t="s">
        <v>40</v>
      </c>
      <c r="B856" s="51" t="s">
        <v>41</v>
      </c>
      <c r="C856" s="61">
        <v>54</v>
      </c>
      <c r="D856" s="16"/>
      <c r="F856" s="218" t="s">
        <v>508</v>
      </c>
      <c r="G856" s="218" t="s">
        <v>3</v>
      </c>
      <c r="H856" s="218" t="s">
        <v>4</v>
      </c>
      <c r="I856" s="218" t="s">
        <v>2</v>
      </c>
    </row>
    <row r="857" spans="1:9" ht="12.75">
      <c r="A857" s="60" t="s">
        <v>42</v>
      </c>
      <c r="B857" s="51" t="s">
        <v>43</v>
      </c>
      <c r="C857" s="61">
        <v>59</v>
      </c>
      <c r="D857" s="16"/>
      <c r="F857" s="218" t="s">
        <v>509</v>
      </c>
      <c r="G857" s="218">
        <v>2.944444444444445</v>
      </c>
      <c r="H857" s="218">
        <v>0.8559815433265622</v>
      </c>
      <c r="I857" s="218">
        <v>54</v>
      </c>
    </row>
    <row r="858" spans="1:9" ht="12.75">
      <c r="A858" s="60" t="s">
        <v>59</v>
      </c>
      <c r="B858" s="50" t="s">
        <v>60</v>
      </c>
      <c r="C858" s="64">
        <f>1-C859</f>
        <v>0.95</v>
      </c>
      <c r="D858" s="16"/>
      <c r="F858" s="218" t="s">
        <v>437</v>
      </c>
      <c r="G858" s="218">
        <v>3.0677966101694922</v>
      </c>
      <c r="H858" s="218">
        <v>0.7848656107161677</v>
      </c>
      <c r="I858" s="218">
        <v>59</v>
      </c>
    </row>
    <row r="859" spans="1:9" ht="12.75">
      <c r="A859" s="60" t="s">
        <v>61</v>
      </c>
      <c r="B859" s="51" t="s">
        <v>61</v>
      </c>
      <c r="C859" s="61">
        <v>0.05</v>
      </c>
      <c r="D859" s="16"/>
      <c r="F859" s="218" t="s">
        <v>198</v>
      </c>
      <c r="G859" s="218">
        <v>3.0088495575221232</v>
      </c>
      <c r="H859" s="218">
        <v>0.8182688086664489</v>
      </c>
      <c r="I859" s="218">
        <v>113</v>
      </c>
    </row>
    <row r="860" spans="1:4" ht="12.75">
      <c r="A860" s="60" t="s">
        <v>62</v>
      </c>
      <c r="B860" s="50" t="s">
        <v>83</v>
      </c>
      <c r="C860" s="64">
        <f>1-(C859/2)</f>
        <v>0.975</v>
      </c>
      <c r="D860" s="16"/>
    </row>
    <row r="861" spans="1:4" ht="12.75">
      <c r="A861" s="60" t="s">
        <v>63</v>
      </c>
      <c r="B861" s="50" t="s">
        <v>56</v>
      </c>
      <c r="C861" s="64">
        <f>NORMSINV(C860)</f>
        <v>1.959963984540054</v>
      </c>
      <c r="D861" s="16"/>
    </row>
    <row r="862" spans="1:14" ht="12.75">
      <c r="A862" s="60" t="s">
        <v>210</v>
      </c>
      <c r="B862" s="50" t="s">
        <v>108</v>
      </c>
      <c r="C862" s="64">
        <f>C825-C861*C855</f>
        <v>-0.3652974644174505</v>
      </c>
      <c r="D862" s="16"/>
      <c r="F862" s="218" t="s">
        <v>187</v>
      </c>
      <c r="G862" s="218"/>
      <c r="H862" s="218"/>
      <c r="I862" s="218"/>
      <c r="J862" s="218"/>
      <c r="K862" s="218"/>
      <c r="L862" s="218"/>
      <c r="M862" s="218"/>
      <c r="N862" s="218"/>
    </row>
    <row r="863" spans="1:14" ht="13.5" thickBot="1">
      <c r="A863" s="65"/>
      <c r="B863" s="66" t="s">
        <v>110</v>
      </c>
      <c r="C863" s="67">
        <f>C825+C861*C855</f>
        <v>0.3729378528287962</v>
      </c>
      <c r="D863" s="16"/>
      <c r="E863">
        <f>0.005/0.151</f>
        <v>0.033112582781456956</v>
      </c>
      <c r="F863" s="218" t="s">
        <v>511</v>
      </c>
      <c r="G863" s="218"/>
      <c r="H863" s="218"/>
      <c r="I863" s="218"/>
      <c r="J863" s="218"/>
      <c r="K863" s="218"/>
      <c r="L863" s="218"/>
      <c r="M863" s="218"/>
      <c r="N863" s="218"/>
    </row>
    <row r="864" spans="1:14" ht="12.75">
      <c r="A864" s="16"/>
      <c r="B864" s="17"/>
      <c r="C864" s="17"/>
      <c r="D864" s="16"/>
      <c r="F864" s="218" t="s">
        <v>188</v>
      </c>
      <c r="G864" s="218" t="s">
        <v>189</v>
      </c>
      <c r="H864" s="218" t="s">
        <v>175</v>
      </c>
      <c r="I864" s="218" t="s">
        <v>190</v>
      </c>
      <c r="J864" s="218" t="s">
        <v>173</v>
      </c>
      <c r="K864" s="218" t="s">
        <v>183</v>
      </c>
      <c r="L864" s="218" t="s">
        <v>191</v>
      </c>
      <c r="M864" s="218" t="s">
        <v>192</v>
      </c>
      <c r="N864" s="218" t="s">
        <v>193</v>
      </c>
    </row>
    <row r="865" spans="1:14" ht="13.5" thickBot="1">
      <c r="A865" s="16"/>
      <c r="B865" s="17"/>
      <c r="C865" s="17"/>
      <c r="D865" s="16"/>
      <c r="F865" s="218" t="s">
        <v>194</v>
      </c>
      <c r="G865" s="218">
        <v>0.42900354982249667</v>
      </c>
      <c r="H865" s="218">
        <v>1</v>
      </c>
      <c r="I865" s="218">
        <v>0.42900354982249667</v>
      </c>
      <c r="J865" s="218">
        <v>0.6386537407359417</v>
      </c>
      <c r="K865" s="218">
        <v>0.42590546470127433</v>
      </c>
      <c r="L865" s="218">
        <v>0.005720722342452457</v>
      </c>
      <c r="M865" s="218">
        <v>0.6386537407359417</v>
      </c>
      <c r="N865" s="218">
        <v>0.12442283733933801</v>
      </c>
    </row>
    <row r="866" spans="1:14" ht="14.25">
      <c r="A866" s="57" t="s">
        <v>64</v>
      </c>
      <c r="B866" s="81" t="s">
        <v>204</v>
      </c>
      <c r="C866" s="68">
        <v>0.7404174696413538</v>
      </c>
      <c r="D866" s="16"/>
      <c r="F866" s="218" t="s">
        <v>195</v>
      </c>
      <c r="G866" s="218">
        <v>1019.1546672666362</v>
      </c>
      <c r="H866" s="218">
        <v>1</v>
      </c>
      <c r="I866" s="218">
        <v>1019.1546672666362</v>
      </c>
      <c r="J866" s="218">
        <v>1517.2064215031332</v>
      </c>
      <c r="K866" s="218">
        <v>1.4417906937475402E-66</v>
      </c>
      <c r="L866" s="218">
        <v>0.9318268258041099</v>
      </c>
      <c r="M866" s="218">
        <v>1517.206421503133</v>
      </c>
      <c r="N866" s="218">
        <v>1</v>
      </c>
    </row>
    <row r="867" spans="1:14" ht="14.25">
      <c r="A867" s="60" t="s">
        <v>65</v>
      </c>
      <c r="B867" s="51" t="s">
        <v>205</v>
      </c>
      <c r="C867" s="61">
        <v>0.7385729259057403</v>
      </c>
      <c r="D867" s="16"/>
      <c r="F867" s="218" t="s">
        <v>196</v>
      </c>
      <c r="G867" s="218">
        <v>0.42900354982250577</v>
      </c>
      <c r="H867" s="218">
        <v>1</v>
      </c>
      <c r="I867" s="218">
        <v>0.42900354982250577</v>
      </c>
      <c r="J867" s="218">
        <v>0.6386537407359553</v>
      </c>
      <c r="K867" s="218">
        <v>0.42590546470127055</v>
      </c>
      <c r="L867" s="218">
        <v>0.005720722342452579</v>
      </c>
      <c r="M867" s="218">
        <v>0.6386537407359553</v>
      </c>
      <c r="N867" s="218">
        <v>0.12442283733933945</v>
      </c>
    </row>
    <row r="868" spans="1:14" ht="15" thickBot="1">
      <c r="A868" s="65" t="s">
        <v>66</v>
      </c>
      <c r="B868" s="66" t="s">
        <v>206</v>
      </c>
      <c r="C868" s="67">
        <f>((((C856-1)*(C866^2))+((C857-1)*(C867^2)))/(C856+C857-2))^0.5</f>
        <v>0.7394542279729907</v>
      </c>
      <c r="D868" s="16" t="s">
        <v>280</v>
      </c>
      <c r="F868" s="218" t="s">
        <v>197</v>
      </c>
      <c r="G868" s="218">
        <v>74.56214689265538</v>
      </c>
      <c r="H868" s="218">
        <v>111</v>
      </c>
      <c r="I868" s="218">
        <v>0.6717310530869853</v>
      </c>
      <c r="J868" s="218"/>
      <c r="K868" s="218"/>
      <c r="L868" s="218"/>
      <c r="M868" s="218"/>
      <c r="N868" s="218"/>
    </row>
    <row r="869" spans="1:14" ht="12.75">
      <c r="A869" s="16"/>
      <c r="B869" s="17"/>
      <c r="C869" s="17"/>
      <c r="D869" s="16"/>
      <c r="F869" s="218" t="s">
        <v>198</v>
      </c>
      <c r="G869" s="218">
        <v>1098</v>
      </c>
      <c r="H869" s="218">
        <v>113</v>
      </c>
      <c r="I869" s="218"/>
      <c r="J869" s="218"/>
      <c r="K869" s="218"/>
      <c r="L869" s="218"/>
      <c r="M869" s="218"/>
      <c r="N869" s="218"/>
    </row>
    <row r="870" spans="1:14" ht="13.5" thickBot="1">
      <c r="A870" s="16"/>
      <c r="B870" s="17"/>
      <c r="C870" s="17"/>
      <c r="D870" s="16"/>
      <c r="F870" s="218" t="s">
        <v>199</v>
      </c>
      <c r="G870" s="218">
        <v>74.99115044247787</v>
      </c>
      <c r="H870" s="218">
        <v>112</v>
      </c>
      <c r="I870" s="218"/>
      <c r="J870" s="218"/>
      <c r="K870" s="218"/>
      <c r="L870" s="218"/>
      <c r="M870" s="218"/>
      <c r="N870" s="218"/>
    </row>
    <row r="871" spans="1:14" ht="13.5" thickBot="1">
      <c r="A871" s="71" t="s">
        <v>67</v>
      </c>
      <c r="B871" s="17"/>
      <c r="C871" s="17"/>
      <c r="D871" s="16"/>
      <c r="F871" s="218" t="s">
        <v>185</v>
      </c>
      <c r="G871" s="218" t="s">
        <v>200</v>
      </c>
      <c r="H871" s="218"/>
      <c r="I871" s="218"/>
      <c r="J871" s="218"/>
      <c r="K871" s="218"/>
      <c r="L871" s="218"/>
      <c r="M871" s="218"/>
      <c r="N871" s="218"/>
    </row>
    <row r="872" spans="1:14" ht="12.75">
      <c r="A872" s="57" t="s">
        <v>68</v>
      </c>
      <c r="B872" s="58" t="s">
        <v>28</v>
      </c>
      <c r="C872" s="59">
        <f>(C873*(C875+C876))/((C874^0.5)*(C875*C876)^0.5)</f>
        <v>-0.4433273270343624</v>
      </c>
      <c r="D872" s="16" t="s">
        <v>69</v>
      </c>
      <c r="F872" s="218" t="s">
        <v>201</v>
      </c>
      <c r="G872" s="218" t="s">
        <v>512</v>
      </c>
      <c r="H872" s="218"/>
      <c r="I872" s="218"/>
      <c r="J872" s="218"/>
      <c r="K872" s="218"/>
      <c r="L872" s="218"/>
      <c r="M872" s="218"/>
      <c r="N872" s="218"/>
    </row>
    <row r="873" spans="1:4" ht="12.75">
      <c r="A873" s="60" t="s">
        <v>70</v>
      </c>
      <c r="B873" s="51" t="s">
        <v>71</v>
      </c>
      <c r="C873" s="61">
        <v>-2.51</v>
      </c>
      <c r="D873" s="16"/>
    </row>
    <row r="874" spans="1:4" ht="12.75">
      <c r="A874" s="60" t="s">
        <v>72</v>
      </c>
      <c r="B874" s="51" t="s">
        <v>73</v>
      </c>
      <c r="C874" s="61">
        <v>129</v>
      </c>
      <c r="D874" s="16"/>
    </row>
    <row r="875" spans="1:9" ht="12.75">
      <c r="A875" s="60" t="s">
        <v>40</v>
      </c>
      <c r="B875" s="50" t="s">
        <v>41</v>
      </c>
      <c r="C875" s="64">
        <v>104</v>
      </c>
      <c r="D875" s="16"/>
      <c r="F875" s="218" t="s">
        <v>180</v>
      </c>
      <c r="G875" s="218"/>
      <c r="H875" s="218"/>
      <c r="I875" s="218"/>
    </row>
    <row r="876" spans="1:9" ht="13.5" thickBot="1">
      <c r="A876" s="65" t="s">
        <v>42</v>
      </c>
      <c r="B876" s="66" t="s">
        <v>43</v>
      </c>
      <c r="C876" s="67">
        <v>89</v>
      </c>
      <c r="D876" s="16"/>
      <c r="F876" s="218" t="s">
        <v>511</v>
      </c>
      <c r="G876" s="218"/>
      <c r="H876" s="218"/>
      <c r="I876" s="218"/>
    </row>
    <row r="877" spans="1:9" ht="13.5" thickBot="1">
      <c r="A877" s="49"/>
      <c r="B877" s="50"/>
      <c r="C877" s="50"/>
      <c r="D877" s="16"/>
      <c r="F877" s="218" t="s">
        <v>173</v>
      </c>
      <c r="G877" s="218" t="s">
        <v>181</v>
      </c>
      <c r="H877" s="218" t="s">
        <v>182</v>
      </c>
      <c r="I877" s="218" t="s">
        <v>183</v>
      </c>
    </row>
    <row r="878" spans="1:9" ht="13.5" thickBot="1">
      <c r="A878" s="69" t="s">
        <v>76</v>
      </c>
      <c r="B878" s="17"/>
      <c r="C878" s="17"/>
      <c r="D878" s="16"/>
      <c r="F878" s="218">
        <v>0.213199965409427</v>
      </c>
      <c r="G878" s="218">
        <v>1</v>
      </c>
      <c r="H878" s="218">
        <v>111</v>
      </c>
      <c r="I878" s="218">
        <v>0.645174425447695</v>
      </c>
    </row>
    <row r="879" spans="1:9" ht="12.75">
      <c r="A879" s="57" t="s">
        <v>68</v>
      </c>
      <c r="B879" s="58" t="s">
        <v>28</v>
      </c>
      <c r="C879" s="59">
        <f>C825</f>
        <v>0.0038201942056728796</v>
      </c>
      <c r="D879" s="16"/>
      <c r="F879" s="218" t="s">
        <v>184</v>
      </c>
      <c r="G879" s="218"/>
      <c r="H879" s="218"/>
      <c r="I879" s="218"/>
    </row>
    <row r="880" spans="1:9" ht="12.75">
      <c r="A880" s="60" t="s">
        <v>74</v>
      </c>
      <c r="B880" s="50" t="s">
        <v>75</v>
      </c>
      <c r="C880" s="64">
        <f>C879/(C881/C882)^0.5</f>
        <v>0.0002534207960138832</v>
      </c>
      <c r="D880" s="16" t="s">
        <v>212</v>
      </c>
      <c r="F880" s="218" t="s">
        <v>185</v>
      </c>
      <c r="G880" s="218" t="s">
        <v>186</v>
      </c>
      <c r="H880" s="218"/>
      <c r="I880" s="218"/>
    </row>
    <row r="881" spans="1:4" ht="12.75">
      <c r="A881" s="60" t="s">
        <v>2</v>
      </c>
      <c r="B881" s="50" t="s">
        <v>2</v>
      </c>
      <c r="C881" s="64">
        <f>C833</f>
        <v>43403</v>
      </c>
      <c r="D881" s="16"/>
    </row>
    <row r="882" spans="1:4" ht="13.5" thickBot="1">
      <c r="A882" s="65" t="s">
        <v>72</v>
      </c>
      <c r="B882" s="72" t="s">
        <v>73</v>
      </c>
      <c r="C882" s="73">
        <v>191</v>
      </c>
      <c r="D882" s="16" t="s">
        <v>213</v>
      </c>
    </row>
    <row r="883" spans="1:4" ht="12.75">
      <c r="A883" s="74" t="s">
        <v>214</v>
      </c>
      <c r="B883" s="75"/>
      <c r="C883" s="76"/>
      <c r="D883" s="16"/>
    </row>
    <row r="884" spans="1:4" ht="12.75">
      <c r="A884" s="60" t="s">
        <v>74</v>
      </c>
      <c r="B884" s="50" t="s">
        <v>75</v>
      </c>
      <c r="C884" s="64">
        <f>C887*((C885+C886)^0.5)/(C885*C886)^0.5</f>
        <v>-0.47270484919315336</v>
      </c>
      <c r="D884" s="16" t="s">
        <v>211</v>
      </c>
    </row>
    <row r="885" spans="1:4" ht="12.75">
      <c r="A885" s="60" t="s">
        <v>40</v>
      </c>
      <c r="B885" s="50" t="s">
        <v>41</v>
      </c>
      <c r="C885" s="64">
        <f>C856</f>
        <v>54</v>
      </c>
      <c r="D885" s="16"/>
    </row>
    <row r="886" spans="1:4" ht="12.75">
      <c r="A886" s="60" t="s">
        <v>42</v>
      </c>
      <c r="B886" s="50" t="s">
        <v>43</v>
      </c>
      <c r="C886" s="64">
        <f>C857</f>
        <v>59</v>
      </c>
      <c r="D886" s="16"/>
    </row>
    <row r="887" spans="1:4" ht="13.5" thickBot="1">
      <c r="A887" s="65" t="s">
        <v>70</v>
      </c>
      <c r="B887" s="66" t="s">
        <v>71</v>
      </c>
      <c r="C887" s="67">
        <f>C873</f>
        <v>-2.51</v>
      </c>
      <c r="D887" s="16"/>
    </row>
    <row r="888" spans="1:4" ht="12.75">
      <c r="A888" s="74" t="s">
        <v>214</v>
      </c>
      <c r="B888" s="75"/>
      <c r="C888" s="76"/>
      <c r="D888" s="16"/>
    </row>
    <row r="889" spans="1:4" ht="12.75">
      <c r="A889" s="60" t="s">
        <v>74</v>
      </c>
      <c r="B889" s="50" t="s">
        <v>75</v>
      </c>
      <c r="C889" s="64">
        <f>(C890-C891)/(C892^0.5)</f>
        <v>0.004902613944214456</v>
      </c>
      <c r="D889" s="16" t="s">
        <v>212</v>
      </c>
    </row>
    <row r="890" spans="1:4" ht="12.75">
      <c r="A890" s="60" t="s">
        <v>29</v>
      </c>
      <c r="B890" s="62" t="s">
        <v>30</v>
      </c>
      <c r="C890" s="64">
        <f>C826</f>
        <v>2.833333333333334</v>
      </c>
      <c r="D890" s="16"/>
    </row>
    <row r="891" spans="1:4" ht="12.75">
      <c r="A891" s="60" t="s">
        <v>31</v>
      </c>
      <c r="B891" s="62" t="s">
        <v>32</v>
      </c>
      <c r="C891" s="64">
        <f>C827</f>
        <v>2.830508474576271</v>
      </c>
      <c r="D891" s="16"/>
    </row>
    <row r="892" spans="1:4" ht="15" thickBot="1">
      <c r="A892" s="65" t="s">
        <v>215</v>
      </c>
      <c r="B892" s="77" t="s">
        <v>216</v>
      </c>
      <c r="C892" s="73">
        <v>0.332</v>
      </c>
      <c r="D892" s="16"/>
    </row>
    <row r="893" spans="1:4" ht="13.5" thickBot="1">
      <c r="A893" s="16"/>
      <c r="B893" s="17"/>
      <c r="C893" s="17"/>
      <c r="D893" s="16"/>
    </row>
    <row r="894" spans="1:4" ht="13.5" thickBot="1">
      <c r="A894" s="69" t="s">
        <v>77</v>
      </c>
      <c r="B894" s="17"/>
      <c r="C894" s="17"/>
      <c r="D894" s="16"/>
    </row>
    <row r="895" spans="1:4" ht="12.75">
      <c r="A895" s="36" t="s">
        <v>77</v>
      </c>
      <c r="B895" s="58" t="s">
        <v>78</v>
      </c>
      <c r="C895" s="59">
        <f>(C896-C897)/C898</f>
        <v>0.6022771311117178</v>
      </c>
      <c r="D895" s="16"/>
    </row>
    <row r="896" spans="1:4" ht="12.75">
      <c r="A896" s="60" t="s">
        <v>29</v>
      </c>
      <c r="B896" s="62" t="s">
        <v>30</v>
      </c>
      <c r="C896" s="63">
        <f>C845</f>
        <v>3.6341463414634148</v>
      </c>
      <c r="D896" s="16"/>
    </row>
    <row r="897" spans="1:4" ht="12.75">
      <c r="A897" s="60" t="s">
        <v>31</v>
      </c>
      <c r="B897" s="62" t="s">
        <v>32</v>
      </c>
      <c r="C897" s="63">
        <f>C846</f>
        <v>3.0677966101694927</v>
      </c>
      <c r="D897" s="16"/>
    </row>
    <row r="898" spans="1:4" ht="15" thickBot="1">
      <c r="A898" s="40" t="s">
        <v>79</v>
      </c>
      <c r="B898" s="66" t="s">
        <v>205</v>
      </c>
      <c r="C898" s="67">
        <f>C850</f>
        <v>0.9403473949750029</v>
      </c>
      <c r="D898" s="16"/>
    </row>
    <row r="899" spans="1:4" ht="13.5" thickBot="1">
      <c r="A899" s="16"/>
      <c r="B899" s="17"/>
      <c r="C899" s="17"/>
      <c r="D899" s="16"/>
    </row>
    <row r="900" spans="1:4" ht="13.5" thickBot="1">
      <c r="A900" s="80" t="s">
        <v>80</v>
      </c>
      <c r="B900" s="78"/>
      <c r="C900" s="79" t="s">
        <v>81</v>
      </c>
      <c r="D900" s="16"/>
    </row>
    <row r="901" spans="1:4" ht="13.5" thickBot="1">
      <c r="A901" s="16"/>
      <c r="B901" s="17"/>
      <c r="C901" s="17"/>
      <c r="D901" s="16"/>
    </row>
    <row r="902" spans="1:4" ht="13.5" thickBot="1">
      <c r="A902" s="84" t="s">
        <v>84</v>
      </c>
      <c r="B902" s="17"/>
      <c r="C902" s="17"/>
      <c r="D902" s="16"/>
    </row>
    <row r="903" spans="1:4" ht="12.75">
      <c r="A903" s="57" t="s">
        <v>84</v>
      </c>
      <c r="B903" s="58" t="s">
        <v>85</v>
      </c>
      <c r="C903" s="59">
        <f>(2*C904)-C905</f>
        <v>0.007640388411345759</v>
      </c>
      <c r="D903" s="16" t="s">
        <v>86</v>
      </c>
    </row>
    <row r="904" spans="1:4" ht="12.75">
      <c r="A904" s="60" t="s">
        <v>87</v>
      </c>
      <c r="B904" s="50" t="s">
        <v>88</v>
      </c>
      <c r="C904" s="64">
        <f>C825</f>
        <v>0.0038201942056728796</v>
      </c>
      <c r="D904" s="16"/>
    </row>
    <row r="905" spans="1:4" ht="12.75">
      <c r="A905" s="60" t="s">
        <v>89</v>
      </c>
      <c r="B905" s="51" t="s">
        <v>90</v>
      </c>
      <c r="C905" s="82">
        <v>0</v>
      </c>
      <c r="D905" s="16"/>
    </row>
    <row r="906" spans="1:4" ht="14.25">
      <c r="A906" s="60" t="s">
        <v>91</v>
      </c>
      <c r="B906" s="83" t="s">
        <v>217</v>
      </c>
      <c r="C906" s="64">
        <f>((4*C834)/(1+3*C834))^0.5</f>
        <v>0.0002755319668135682</v>
      </c>
      <c r="D906" s="16" t="s">
        <v>92</v>
      </c>
    </row>
    <row r="907" spans="1:4" ht="13.5" thickBot="1">
      <c r="A907" s="65" t="s">
        <v>93</v>
      </c>
      <c r="B907" s="66" t="s">
        <v>94</v>
      </c>
      <c r="C907" s="67"/>
      <c r="D907" s="16"/>
    </row>
    <row r="908" spans="1:4" ht="13.5" thickBot="1">
      <c r="A908" s="16"/>
      <c r="B908" s="17"/>
      <c r="C908" s="17"/>
      <c r="D908" s="16"/>
    </row>
    <row r="909" spans="1:4" ht="13.5" thickBot="1">
      <c r="A909" s="94" t="s">
        <v>95</v>
      </c>
      <c r="B909" s="17"/>
      <c r="C909" s="17"/>
      <c r="D909" s="16"/>
    </row>
    <row r="910" spans="1:4" ht="12.75">
      <c r="A910" s="88" t="s">
        <v>96</v>
      </c>
      <c r="B910" s="89" t="s">
        <v>97</v>
      </c>
      <c r="C910" s="90">
        <f>((C911-C912)/C911)*C913/C912</f>
        <v>0.0009876170556638306</v>
      </c>
      <c r="D910" s="16"/>
    </row>
    <row r="911" spans="1:4" ht="12.75">
      <c r="A911" s="91" t="s">
        <v>98</v>
      </c>
      <c r="B911" s="85" t="s">
        <v>2</v>
      </c>
      <c r="C911" s="87">
        <v>436</v>
      </c>
      <c r="D911" s="16"/>
    </row>
    <row r="912" spans="1:4" ht="12.75">
      <c r="A912" s="91" t="s">
        <v>99</v>
      </c>
      <c r="B912" s="85" t="s">
        <v>100</v>
      </c>
      <c r="C912" s="87">
        <v>193</v>
      </c>
      <c r="D912" s="16"/>
    </row>
    <row r="913" spans="1:4" ht="15.75">
      <c r="A913" s="91" t="s">
        <v>101</v>
      </c>
      <c r="B913" s="85" t="s">
        <v>219</v>
      </c>
      <c r="C913" s="87">
        <v>0.342</v>
      </c>
      <c r="D913" s="16"/>
    </row>
    <row r="914" spans="1:4" ht="12.75">
      <c r="A914" s="91" t="s">
        <v>102</v>
      </c>
      <c r="B914" s="92" t="s">
        <v>103</v>
      </c>
      <c r="C914" s="93">
        <f>C910^0.5</f>
        <v>0.031426375159471234</v>
      </c>
      <c r="D914" s="16"/>
    </row>
    <row r="915" spans="1:4" ht="12.75">
      <c r="A915" s="91" t="s">
        <v>104</v>
      </c>
      <c r="B915" s="92" t="s">
        <v>105</v>
      </c>
      <c r="C915" s="93">
        <f>((C911-C912)/(C911-1))^0.5</f>
        <v>0.7474093186836597</v>
      </c>
      <c r="D915" s="16"/>
    </row>
    <row r="916" spans="1:4" ht="12.75">
      <c r="A916" s="91" t="s">
        <v>59</v>
      </c>
      <c r="B916" s="92" t="s">
        <v>60</v>
      </c>
      <c r="C916" s="93">
        <f>1-C917</f>
        <v>0.95</v>
      </c>
      <c r="D916" s="16"/>
    </row>
    <row r="917" spans="1:4" ht="12.75">
      <c r="A917" s="91" t="s">
        <v>61</v>
      </c>
      <c r="B917" s="85" t="s">
        <v>61</v>
      </c>
      <c r="C917" s="87">
        <v>0.05</v>
      </c>
      <c r="D917" s="16"/>
    </row>
    <row r="918" spans="1:4" ht="12.75">
      <c r="A918" s="91" t="s">
        <v>62</v>
      </c>
      <c r="B918" s="92" t="s">
        <v>83</v>
      </c>
      <c r="C918" s="93">
        <f>1-(C917/2)</f>
        <v>0.975</v>
      </c>
      <c r="D918" s="16"/>
    </row>
    <row r="919" spans="1:4" ht="12.75">
      <c r="A919" s="91" t="s">
        <v>63</v>
      </c>
      <c r="B919" s="92" t="s">
        <v>56</v>
      </c>
      <c r="C919" s="93">
        <f>NORMSINV(C918)</f>
        <v>1.959963984540054</v>
      </c>
      <c r="D919" s="16"/>
    </row>
    <row r="920" spans="1:4" ht="12.75">
      <c r="A920" s="91" t="s">
        <v>106</v>
      </c>
      <c r="B920" s="85" t="s">
        <v>13</v>
      </c>
      <c r="C920" s="87">
        <v>4.617</v>
      </c>
      <c r="D920" s="16"/>
    </row>
    <row r="921" spans="1:4" ht="12.75">
      <c r="A921" s="91" t="s">
        <v>107</v>
      </c>
      <c r="B921" s="92" t="s">
        <v>108</v>
      </c>
      <c r="C921" s="93">
        <f>C920-(C919*C914)</f>
        <v>4.5554054365227925</v>
      </c>
      <c r="D921" s="16"/>
    </row>
    <row r="922" spans="1:4" ht="12.75">
      <c r="A922" s="91" t="s">
        <v>109</v>
      </c>
      <c r="B922" s="92" t="s">
        <v>110</v>
      </c>
      <c r="C922" s="93">
        <f>C920+C919*C914</f>
        <v>4.6785945634772075</v>
      </c>
      <c r="D922" s="16"/>
    </row>
    <row r="923" spans="1:4" ht="12.75">
      <c r="A923" s="91" t="s">
        <v>229</v>
      </c>
      <c r="B923" s="50" t="s">
        <v>230</v>
      </c>
      <c r="C923" s="120">
        <f>C922-C921</f>
        <v>0.12318912695441497</v>
      </c>
      <c r="D923" s="16"/>
    </row>
    <row r="924" spans="1:4" ht="12.75">
      <c r="A924" s="91" t="s">
        <v>231</v>
      </c>
      <c r="B924" s="50" t="s">
        <v>232</v>
      </c>
      <c r="C924" s="93">
        <f>C923/C920</f>
        <v>0.026681638933163304</v>
      </c>
      <c r="D924" s="16"/>
    </row>
    <row r="925" spans="1:4" ht="12.75">
      <c r="A925" s="91" t="s">
        <v>233</v>
      </c>
      <c r="B925" s="50" t="s">
        <v>234</v>
      </c>
      <c r="C925" s="93">
        <f>C924*100</f>
        <v>2.6681638933163305</v>
      </c>
      <c r="D925" s="16"/>
    </row>
    <row r="926" spans="1:4" ht="12.75">
      <c r="A926" s="91" t="s">
        <v>260</v>
      </c>
      <c r="B926" s="92" t="s">
        <v>236</v>
      </c>
      <c r="C926" s="120">
        <f>C919*C914</f>
        <v>0.06159456347720782</v>
      </c>
      <c r="D926" s="16" t="s">
        <v>251</v>
      </c>
    </row>
    <row r="927" spans="1:4" ht="12.75">
      <c r="A927" s="91" t="s">
        <v>261</v>
      </c>
      <c r="B927" s="92" t="s">
        <v>237</v>
      </c>
      <c r="C927" s="121">
        <f>C926/C920</f>
        <v>0.013340819466581723</v>
      </c>
      <c r="D927" s="16"/>
    </row>
    <row r="928" spans="1:4" ht="12.75">
      <c r="A928" s="91" t="s">
        <v>248</v>
      </c>
      <c r="B928" s="92" t="s">
        <v>239</v>
      </c>
      <c r="C928" s="121">
        <f>C927*100</f>
        <v>1.3340819466581724</v>
      </c>
      <c r="D928" s="16"/>
    </row>
    <row r="929" spans="1:4" ht="12.75">
      <c r="A929" s="91" t="s">
        <v>240</v>
      </c>
      <c r="B929" s="85" t="s">
        <v>241</v>
      </c>
      <c r="C929" s="87">
        <v>5</v>
      </c>
      <c r="D929" s="16"/>
    </row>
    <row r="930" spans="1:4" ht="12.75">
      <c r="A930" s="91" t="s">
        <v>244</v>
      </c>
      <c r="B930" s="92" t="s">
        <v>246</v>
      </c>
      <c r="C930" s="121">
        <f>C926/C929</f>
        <v>0.012318912695441563</v>
      </c>
      <c r="D930" s="16"/>
    </row>
    <row r="931" spans="1:4" ht="12.75">
      <c r="A931" s="91" t="s">
        <v>245</v>
      </c>
      <c r="B931" s="92" t="s">
        <v>247</v>
      </c>
      <c r="C931" s="121">
        <f>C930*100</f>
        <v>1.2318912695441564</v>
      </c>
      <c r="D931" s="16"/>
    </row>
    <row r="932" spans="1:4" ht="13.5" thickBot="1">
      <c r="A932" s="91" t="s">
        <v>242</v>
      </c>
      <c r="B932" s="92" t="s">
        <v>243</v>
      </c>
      <c r="C932" s="121">
        <f>100-C931</f>
        <v>98.76810873045585</v>
      </c>
      <c r="D932" s="16"/>
    </row>
    <row r="933" spans="1:4" ht="13.5" thickBot="1">
      <c r="A933" s="108" t="s">
        <v>220</v>
      </c>
      <c r="B933" s="92"/>
      <c r="C933" s="93"/>
      <c r="D933" s="16"/>
    </row>
    <row r="934" spans="1:4" ht="12.75">
      <c r="A934" s="88" t="s">
        <v>96</v>
      </c>
      <c r="B934" s="89" t="s">
        <v>97</v>
      </c>
      <c r="C934" s="90">
        <f>C937/C936</f>
        <v>0.0017772020725388602</v>
      </c>
      <c r="D934" s="16"/>
    </row>
    <row r="935" spans="1:4" ht="12.75">
      <c r="A935" s="91" t="s">
        <v>98</v>
      </c>
      <c r="B935" s="85" t="s">
        <v>2</v>
      </c>
      <c r="C935" s="87">
        <f>436</f>
        <v>436</v>
      </c>
      <c r="D935" s="16"/>
    </row>
    <row r="936" spans="1:4" ht="12.75">
      <c r="A936" s="91" t="s">
        <v>99</v>
      </c>
      <c r="B936" s="85" t="s">
        <v>100</v>
      </c>
      <c r="C936" s="87">
        <v>193</v>
      </c>
      <c r="D936" s="16"/>
    </row>
    <row r="937" spans="1:4" ht="15.75">
      <c r="A937" s="91" t="s">
        <v>101</v>
      </c>
      <c r="B937" s="85" t="s">
        <v>219</v>
      </c>
      <c r="C937" s="87">
        <v>0.343</v>
      </c>
      <c r="D937" s="16"/>
    </row>
    <row r="938" spans="1:4" ht="12.75">
      <c r="A938" s="91" t="s">
        <v>102</v>
      </c>
      <c r="B938" s="92" t="s">
        <v>103</v>
      </c>
      <c r="C938" s="93">
        <f>C934^0.5</f>
        <v>0.04215687455847338</v>
      </c>
      <c r="D938" s="16"/>
    </row>
    <row r="939" spans="1:4" ht="12.75">
      <c r="A939" s="91" t="s">
        <v>59</v>
      </c>
      <c r="B939" s="92" t="s">
        <v>60</v>
      </c>
      <c r="C939" s="93">
        <f>1-C940</f>
        <v>0.95</v>
      </c>
      <c r="D939" s="16"/>
    </row>
    <row r="940" spans="1:4" ht="12.75">
      <c r="A940" s="91" t="s">
        <v>61</v>
      </c>
      <c r="B940" s="85" t="s">
        <v>61</v>
      </c>
      <c r="C940" s="86">
        <v>0.05</v>
      </c>
      <c r="D940" s="16"/>
    </row>
    <row r="941" spans="1:4" ht="12.75">
      <c r="A941" s="91" t="s">
        <v>62</v>
      </c>
      <c r="B941" s="92" t="s">
        <v>83</v>
      </c>
      <c r="C941" s="93">
        <f>1-(C940/2)</f>
        <v>0.975</v>
      </c>
      <c r="D941" s="16"/>
    </row>
    <row r="942" spans="1:4" ht="12.75">
      <c r="A942" s="91" t="s">
        <v>63</v>
      </c>
      <c r="B942" s="92" t="s">
        <v>56</v>
      </c>
      <c r="C942" s="93">
        <f>NORMSINV(C941)</f>
        <v>1.959963984540054</v>
      </c>
      <c r="D942" s="16"/>
    </row>
    <row r="943" spans="1:4" ht="12.75">
      <c r="A943" s="91" t="s">
        <v>106</v>
      </c>
      <c r="B943" s="85" t="s">
        <v>13</v>
      </c>
      <c r="C943" s="86">
        <v>4.617</v>
      </c>
      <c r="D943" s="16"/>
    </row>
    <row r="944" spans="1:4" ht="12.75">
      <c r="A944" s="91" t="s">
        <v>107</v>
      </c>
      <c r="B944" s="92" t="s">
        <v>108</v>
      </c>
      <c r="C944" s="93">
        <f>C943-(C942*C938)</f>
        <v>4.534374044164619</v>
      </c>
      <c r="D944" s="16"/>
    </row>
    <row r="945" spans="1:4" ht="12.75">
      <c r="A945" s="91" t="s">
        <v>109</v>
      </c>
      <c r="B945" s="92" t="s">
        <v>110</v>
      </c>
      <c r="C945" s="93">
        <f>C943+C942*C938</f>
        <v>4.699625955835381</v>
      </c>
      <c r="D945" s="16"/>
    </row>
    <row r="946" spans="1:4" ht="12.75">
      <c r="A946" s="91" t="s">
        <v>229</v>
      </c>
      <c r="B946" s="50" t="s">
        <v>230</v>
      </c>
      <c r="C946" s="120">
        <f>C945-C944</f>
        <v>0.1652519116707616</v>
      </c>
      <c r="D946" s="16"/>
    </row>
    <row r="947" spans="1:4" ht="12.75">
      <c r="A947" s="91" t="s">
        <v>231</v>
      </c>
      <c r="B947" s="50" t="s">
        <v>232</v>
      </c>
      <c r="C947" s="93">
        <f>C946/C944</f>
        <v>0.03644426111767902</v>
      </c>
      <c r="D947" s="16"/>
    </row>
    <row r="948" spans="1:4" ht="12.75">
      <c r="A948" s="91" t="s">
        <v>233</v>
      </c>
      <c r="B948" s="50" t="s">
        <v>234</v>
      </c>
      <c r="C948" s="93">
        <f>C947*100</f>
        <v>3.6444261117679018</v>
      </c>
      <c r="D948" s="16"/>
    </row>
    <row r="949" spans="1:4" ht="12.75">
      <c r="A949" s="91" t="s">
        <v>235</v>
      </c>
      <c r="B949" s="92" t="s">
        <v>236</v>
      </c>
      <c r="C949" s="120">
        <f>C942*C938</f>
        <v>0.08262595583538072</v>
      </c>
      <c r="D949" s="16"/>
    </row>
    <row r="950" spans="1:4" ht="12.75">
      <c r="A950" s="91" t="s">
        <v>222</v>
      </c>
      <c r="B950" s="92" t="s">
        <v>237</v>
      </c>
      <c r="C950" s="121">
        <f>C949/C943</f>
        <v>0.017896026821611594</v>
      </c>
      <c r="D950" s="16"/>
    </row>
    <row r="951" spans="1:4" ht="12.75">
      <c r="A951" s="91" t="s">
        <v>238</v>
      </c>
      <c r="B951" s="92" t="s">
        <v>239</v>
      </c>
      <c r="C951" s="121">
        <f>C950*100</f>
        <v>1.7896026821611595</v>
      </c>
      <c r="D951" s="16"/>
    </row>
    <row r="952" spans="1:4" ht="12.75">
      <c r="A952" s="91" t="s">
        <v>240</v>
      </c>
      <c r="B952" s="85" t="s">
        <v>241</v>
      </c>
      <c r="C952" s="86">
        <v>5</v>
      </c>
      <c r="D952" s="16"/>
    </row>
    <row r="953" spans="1:4" ht="12.75">
      <c r="A953" s="91" t="s">
        <v>244</v>
      </c>
      <c r="B953" s="92" t="s">
        <v>246</v>
      </c>
      <c r="C953" s="121">
        <f>C949/C952</f>
        <v>0.016525191167076146</v>
      </c>
      <c r="D953" s="16"/>
    </row>
    <row r="954" spans="1:4" ht="12.75">
      <c r="A954" s="91" t="s">
        <v>245</v>
      </c>
      <c r="B954" s="92" t="s">
        <v>247</v>
      </c>
      <c r="C954" s="121">
        <f>C953*100</f>
        <v>1.6525191167076145</v>
      </c>
      <c r="D954" s="16"/>
    </row>
    <row r="955" spans="1:4" ht="13.5" thickBot="1">
      <c r="A955" s="91" t="s">
        <v>242</v>
      </c>
      <c r="B955" s="92" t="s">
        <v>243</v>
      </c>
      <c r="C955" s="121">
        <f>100-C954</f>
        <v>98.34748088329239</v>
      </c>
      <c r="D955" s="16"/>
    </row>
    <row r="956" spans="1:4" ht="13.5" thickBot="1">
      <c r="A956" s="110" t="s">
        <v>223</v>
      </c>
      <c r="B956" s="25"/>
      <c r="C956" s="25"/>
      <c r="D956" s="16"/>
    </row>
    <row r="957" spans="1:4" ht="12.75">
      <c r="A957" s="112" t="s">
        <v>98</v>
      </c>
      <c r="B957" s="113" t="s">
        <v>2</v>
      </c>
      <c r="C957" s="122">
        <f>436</f>
        <v>436</v>
      </c>
      <c r="D957" s="16"/>
    </row>
    <row r="958" spans="1:4" ht="12.75">
      <c r="A958" s="114" t="s">
        <v>99</v>
      </c>
      <c r="B958" s="115" t="s">
        <v>100</v>
      </c>
      <c r="C958" s="123">
        <f>C962^2*C957*C963/((C962^2*C963)+((C957-1)*C965^2))</f>
        <v>193.54222666231416</v>
      </c>
      <c r="D958" s="16"/>
    </row>
    <row r="959" spans="1:4" ht="12.75">
      <c r="A959" s="114" t="s">
        <v>59</v>
      </c>
      <c r="B959" s="116" t="s">
        <v>60</v>
      </c>
      <c r="C959" s="123">
        <f>1-C960</f>
        <v>0.95</v>
      </c>
      <c r="D959" s="16"/>
    </row>
    <row r="960" spans="1:4" ht="12.75">
      <c r="A960" s="114" t="s">
        <v>61</v>
      </c>
      <c r="B960" s="117" t="s">
        <v>61</v>
      </c>
      <c r="C960" s="124">
        <v>0.05</v>
      </c>
      <c r="D960" s="16"/>
    </row>
    <row r="961" spans="1:4" ht="12.75">
      <c r="A961" s="114" t="s">
        <v>62</v>
      </c>
      <c r="B961" s="116" t="s">
        <v>83</v>
      </c>
      <c r="C961" s="123">
        <f>1-C960/2</f>
        <v>0.975</v>
      </c>
      <c r="D961" s="16"/>
    </row>
    <row r="962" spans="1:4" ht="12.75">
      <c r="A962" s="114" t="s">
        <v>63</v>
      </c>
      <c r="B962" s="116" t="s">
        <v>56</v>
      </c>
      <c r="C962" s="123">
        <f>NORMSINV(C961)</f>
        <v>1.959963984540054</v>
      </c>
      <c r="D962" s="16"/>
    </row>
    <row r="963" spans="1:4" ht="12.75">
      <c r="A963" s="114" t="s">
        <v>259</v>
      </c>
      <c r="B963" s="117" t="s">
        <v>221</v>
      </c>
      <c r="C963" s="124">
        <v>0.343</v>
      </c>
      <c r="D963" s="16"/>
    </row>
    <row r="964" spans="1:4" ht="12.75">
      <c r="A964" s="114" t="s">
        <v>104</v>
      </c>
      <c r="B964" s="116" t="s">
        <v>105</v>
      </c>
      <c r="C964" s="123">
        <f>((C957-C958)/(C957-1))^0.5</f>
        <v>0.7465749738511779</v>
      </c>
      <c r="D964" s="16"/>
    </row>
    <row r="965" spans="1:4" ht="12.75">
      <c r="A965" s="114" t="s">
        <v>235</v>
      </c>
      <c r="B965" s="115" t="s">
        <v>228</v>
      </c>
      <c r="C965" s="125">
        <f>C967*C966</f>
        <v>0.06159999999999996</v>
      </c>
      <c r="D965" s="16"/>
    </row>
    <row r="966" spans="1:4" ht="12.75">
      <c r="A966" s="114" t="s">
        <v>240</v>
      </c>
      <c r="B966" s="117" t="s">
        <v>241</v>
      </c>
      <c r="C966" s="124">
        <v>5</v>
      </c>
      <c r="D966" s="16"/>
    </row>
    <row r="967" spans="1:4" ht="13.5" thickBot="1">
      <c r="A967" s="114" t="s">
        <v>244</v>
      </c>
      <c r="B967" s="116" t="s">
        <v>246</v>
      </c>
      <c r="C967" s="126">
        <f>C968/100</f>
        <v>0.012319999999999992</v>
      </c>
      <c r="D967" s="16"/>
    </row>
    <row r="968" spans="1:4" ht="13.5" thickBot="1">
      <c r="A968" s="114" t="s">
        <v>245</v>
      </c>
      <c r="B968" s="115" t="s">
        <v>247</v>
      </c>
      <c r="C968" s="126">
        <f>100-C969</f>
        <v>1.2319999999999993</v>
      </c>
      <c r="D968" s="16"/>
    </row>
    <row r="969" spans="1:4" ht="13.5" thickBot="1">
      <c r="A969" s="114" t="s">
        <v>242</v>
      </c>
      <c r="B969" s="117" t="s">
        <v>243</v>
      </c>
      <c r="C969" s="124">
        <v>98.768</v>
      </c>
      <c r="D969" s="16"/>
    </row>
    <row r="970" spans="1:4" ht="13.5" thickBot="1">
      <c r="A970" s="110" t="s">
        <v>252</v>
      </c>
      <c r="B970" s="115"/>
      <c r="C970" s="132"/>
      <c r="D970" s="16"/>
    </row>
    <row r="971" spans="1:4" ht="12.75">
      <c r="A971" s="112" t="s">
        <v>98</v>
      </c>
      <c r="B971" s="113" t="s">
        <v>2</v>
      </c>
      <c r="C971" s="122">
        <f>436</f>
        <v>436</v>
      </c>
      <c r="D971" s="16"/>
    </row>
    <row r="972" spans="1:4" ht="12.75">
      <c r="A972" s="114" t="s">
        <v>99</v>
      </c>
      <c r="B972" s="115" t="s">
        <v>100</v>
      </c>
      <c r="C972" s="123">
        <f>C976^2*C971*C977/((C976^2*C977)+((C971-1)*C979^2))</f>
        <v>393.7070745665435</v>
      </c>
      <c r="D972" s="16"/>
    </row>
    <row r="973" spans="1:4" ht="12.75">
      <c r="A973" s="114" t="s">
        <v>59</v>
      </c>
      <c r="B973" s="116" t="s">
        <v>60</v>
      </c>
      <c r="C973" s="123">
        <f>1-C974</f>
        <v>0.95</v>
      </c>
      <c r="D973" s="16"/>
    </row>
    <row r="974" spans="1:4" ht="12.75">
      <c r="A974" s="114" t="s">
        <v>61</v>
      </c>
      <c r="B974" s="117" t="s">
        <v>61</v>
      </c>
      <c r="C974" s="124">
        <v>0.05</v>
      </c>
      <c r="D974" s="16"/>
    </row>
    <row r="975" spans="1:4" ht="12.75">
      <c r="A975" s="114" t="s">
        <v>62</v>
      </c>
      <c r="B975" s="116" t="s">
        <v>83</v>
      </c>
      <c r="C975" s="123">
        <f>1-C974/2</f>
        <v>0.975</v>
      </c>
      <c r="D975" s="16"/>
    </row>
    <row r="976" spans="1:4" ht="12.75">
      <c r="A976" s="114" t="s">
        <v>63</v>
      </c>
      <c r="B976" s="116" t="s">
        <v>56</v>
      </c>
      <c r="C976" s="123">
        <f>NORMSINV(C975)</f>
        <v>1.959963984540054</v>
      </c>
      <c r="D976" s="16"/>
    </row>
    <row r="977" spans="1:4" ht="12.75">
      <c r="A977" s="114" t="s">
        <v>257</v>
      </c>
      <c r="B977" s="117" t="s">
        <v>221</v>
      </c>
      <c r="C977" s="124">
        <v>4</v>
      </c>
      <c r="D977" s="16" t="s">
        <v>258</v>
      </c>
    </row>
    <row r="978" spans="1:4" ht="12.75">
      <c r="A978" s="114" t="s">
        <v>104</v>
      </c>
      <c r="B978" s="116" t="s">
        <v>105</v>
      </c>
      <c r="C978" s="123">
        <f>((C971-C972)/(C971-1))^0.5</f>
        <v>0.3118094224666414</v>
      </c>
      <c r="D978" s="16"/>
    </row>
    <row r="979" spans="1:4" ht="12.75">
      <c r="A979" s="114" t="s">
        <v>235</v>
      </c>
      <c r="B979" s="115" t="s">
        <v>228</v>
      </c>
      <c r="C979" s="125">
        <f>C981*C980</f>
        <v>0.06159999999999996</v>
      </c>
      <c r="D979" s="16"/>
    </row>
    <row r="980" spans="1:4" ht="12.75">
      <c r="A980" s="114" t="s">
        <v>240</v>
      </c>
      <c r="B980" s="117" t="s">
        <v>241</v>
      </c>
      <c r="C980" s="124">
        <v>5</v>
      </c>
      <c r="D980" s="16"/>
    </row>
    <row r="981" spans="1:4" ht="13.5" thickBot="1">
      <c r="A981" s="114" t="s">
        <v>244</v>
      </c>
      <c r="B981" s="116" t="s">
        <v>246</v>
      </c>
      <c r="C981" s="126">
        <f>C982/100</f>
        <v>0.012319999999999992</v>
      </c>
      <c r="D981" s="16"/>
    </row>
    <row r="982" spans="1:4" ht="13.5" thickBot="1">
      <c r="A982" s="114" t="s">
        <v>245</v>
      </c>
      <c r="B982" s="115" t="s">
        <v>247</v>
      </c>
      <c r="C982" s="126">
        <f>100-C983</f>
        <v>1.2319999999999993</v>
      </c>
      <c r="D982" s="16"/>
    </row>
    <row r="983" spans="1:4" ht="13.5" thickBot="1">
      <c r="A983" s="118" t="s">
        <v>242</v>
      </c>
      <c r="B983" s="119" t="s">
        <v>243</v>
      </c>
      <c r="C983" s="127">
        <v>98.768</v>
      </c>
      <c r="D983" s="16"/>
    </row>
    <row r="984" spans="1:4" ht="12.75">
      <c r="A984" s="131"/>
      <c r="B984" s="115"/>
      <c r="C984" s="132"/>
      <c r="D984" s="16"/>
    </row>
    <row r="985" spans="1:4" ht="13.5" thickBot="1">
      <c r="A985" s="111" t="s">
        <v>249</v>
      </c>
      <c r="B985" s="25"/>
      <c r="C985" s="25"/>
      <c r="D985" s="16"/>
    </row>
    <row r="986" spans="1:4" ht="12.75">
      <c r="A986" s="96" t="s">
        <v>98</v>
      </c>
      <c r="B986" s="97" t="s">
        <v>2</v>
      </c>
      <c r="C986" s="98">
        <v>436</v>
      </c>
      <c r="D986" s="16"/>
    </row>
    <row r="987" spans="1:4" ht="12.75">
      <c r="A987" s="99" t="s">
        <v>99</v>
      </c>
      <c r="B987" s="100" t="s">
        <v>100</v>
      </c>
      <c r="C987" s="101">
        <f>C991^2*C986*C992*C993/(((C986-1)*C995^2)+(C991^2*C992*C993))</f>
        <v>204.46614974018917</v>
      </c>
      <c r="D987" s="16"/>
    </row>
    <row r="988" spans="1:4" ht="12.75">
      <c r="A988" s="99" t="s">
        <v>59</v>
      </c>
      <c r="B988" s="102" t="s">
        <v>60</v>
      </c>
      <c r="C988" s="101">
        <f>1-C989</f>
        <v>0.95</v>
      </c>
      <c r="D988" s="16"/>
    </row>
    <row r="989" spans="1:4" ht="12.75">
      <c r="A989" s="99" t="s">
        <v>61</v>
      </c>
      <c r="B989" s="103" t="s">
        <v>61</v>
      </c>
      <c r="C989" s="104">
        <v>0.05</v>
      </c>
      <c r="D989" s="16"/>
    </row>
    <row r="990" spans="1:4" ht="12.75">
      <c r="A990" s="99" t="s">
        <v>62</v>
      </c>
      <c r="B990" s="102" t="s">
        <v>83</v>
      </c>
      <c r="C990" s="101">
        <f>1-C989/2</f>
        <v>0.975</v>
      </c>
      <c r="D990" s="16"/>
    </row>
    <row r="991" spans="1:4" ht="12.75">
      <c r="A991" s="99" t="s">
        <v>63</v>
      </c>
      <c r="B991" s="102" t="s">
        <v>56</v>
      </c>
      <c r="C991" s="101">
        <f>NORMSINV(C990)</f>
        <v>1.959963984540054</v>
      </c>
      <c r="D991" s="16"/>
    </row>
    <row r="992" spans="1:4" ht="12.75">
      <c r="A992" s="99" t="s">
        <v>224</v>
      </c>
      <c r="B992" s="103" t="s">
        <v>225</v>
      </c>
      <c r="C992" s="104">
        <v>0.5</v>
      </c>
      <c r="D992" s="16"/>
    </row>
    <row r="993" spans="1:4" ht="12.75">
      <c r="A993" s="99" t="s">
        <v>226</v>
      </c>
      <c r="B993" s="102" t="s">
        <v>227</v>
      </c>
      <c r="C993" s="101">
        <f>1-C992</f>
        <v>0.5</v>
      </c>
      <c r="D993" s="16"/>
    </row>
    <row r="994" spans="1:4" ht="12.75">
      <c r="A994" s="99" t="s">
        <v>104</v>
      </c>
      <c r="B994" s="102" t="s">
        <v>105</v>
      </c>
      <c r="C994" s="101">
        <f>((C986-C987)/(C986-1))^0.5</f>
        <v>0.7295626941772704</v>
      </c>
      <c r="D994" s="16"/>
    </row>
    <row r="995" spans="1:4" ht="12.75">
      <c r="A995" s="99" t="s">
        <v>250</v>
      </c>
      <c r="B995" s="100" t="s">
        <v>228</v>
      </c>
      <c r="C995" s="128">
        <f>C997*C996</f>
        <v>0.05</v>
      </c>
      <c r="D995" s="16"/>
    </row>
    <row r="996" spans="1:4" ht="12.75">
      <c r="A996" s="99" t="s">
        <v>240</v>
      </c>
      <c r="B996" s="103" t="s">
        <v>241</v>
      </c>
      <c r="C996" s="129">
        <v>1</v>
      </c>
      <c r="D996" s="16"/>
    </row>
    <row r="997" spans="1:4" ht="13.5" thickBot="1">
      <c r="A997" s="99" t="s">
        <v>244</v>
      </c>
      <c r="B997" s="102" t="s">
        <v>246</v>
      </c>
      <c r="C997" s="106">
        <f>C998/100</f>
        <v>0.05</v>
      </c>
      <c r="D997" s="16"/>
    </row>
    <row r="998" spans="1:4" ht="13.5" thickBot="1">
      <c r="A998" s="99" t="s">
        <v>245</v>
      </c>
      <c r="B998" s="100" t="s">
        <v>247</v>
      </c>
      <c r="C998" s="106">
        <f>100-C999</f>
        <v>5</v>
      </c>
      <c r="D998" s="16"/>
    </row>
    <row r="999" spans="1:4" ht="13.5" thickBot="1">
      <c r="A999" s="105" t="s">
        <v>242</v>
      </c>
      <c r="B999" s="107" t="s">
        <v>243</v>
      </c>
      <c r="C999" s="130">
        <v>95</v>
      </c>
      <c r="D999" s="16"/>
    </row>
    <row r="1000" spans="1:4" ht="12.75">
      <c r="A1000" s="109"/>
      <c r="B1000" s="103"/>
      <c r="C1000" s="103"/>
      <c r="D1000" s="16"/>
    </row>
    <row r="1001" spans="1:4" ht="13.5" thickBot="1">
      <c r="A1001" s="95"/>
      <c r="B1001" s="92"/>
      <c r="C1001" s="92"/>
      <c r="D1001" s="16"/>
    </row>
    <row r="1002" spans="1:4" ht="13.5" thickBot="1">
      <c r="A1002" s="133" t="s">
        <v>262</v>
      </c>
      <c r="B1002" s="17"/>
      <c r="C1002" s="17"/>
      <c r="D1002" s="16"/>
    </row>
    <row r="1003" spans="1:9" ht="12.75">
      <c r="A1003" s="112" t="s">
        <v>96</v>
      </c>
      <c r="B1003" s="134" t="s">
        <v>97</v>
      </c>
      <c r="C1003" s="135">
        <f>((C1004-C1005)/C1004)*C1006/C1005</f>
        <v>0.010312064556517992</v>
      </c>
      <c r="D1003" s="16"/>
      <c r="F1003" s="217" t="s">
        <v>0</v>
      </c>
      <c r="G1003" s="217"/>
      <c r="H1003" s="217"/>
      <c r="I1003" s="217"/>
    </row>
    <row r="1004" spans="1:9" ht="12.75">
      <c r="A1004" s="114" t="s">
        <v>98</v>
      </c>
      <c r="B1004" s="117" t="s">
        <v>2</v>
      </c>
      <c r="C1004" s="124">
        <v>22661</v>
      </c>
      <c r="D1004" s="16"/>
      <c r="F1004" s="218" t="s">
        <v>0</v>
      </c>
      <c r="G1004" s="218"/>
      <c r="H1004" s="218"/>
      <c r="I1004" s="218"/>
    </row>
    <row r="1005" spans="1:9" ht="12.75">
      <c r="A1005" s="114" t="s">
        <v>99</v>
      </c>
      <c r="B1005" s="117" t="s">
        <v>100</v>
      </c>
      <c r="C1005" s="124">
        <v>59</v>
      </c>
      <c r="D1005" s="16"/>
      <c r="F1005" s="218" t="s">
        <v>511</v>
      </c>
      <c r="G1005" s="218"/>
      <c r="H1005" s="218"/>
      <c r="I1005" s="218"/>
    </row>
    <row r="1006" spans="1:11" ht="15.75">
      <c r="A1006" s="114" t="s">
        <v>101</v>
      </c>
      <c r="B1006" s="117" t="s">
        <v>263</v>
      </c>
      <c r="C1006" s="124">
        <v>0.61</v>
      </c>
      <c r="D1006" s="16"/>
      <c r="F1006" s="218" t="s">
        <v>508</v>
      </c>
      <c r="G1006" s="218" t="s">
        <v>3</v>
      </c>
      <c r="H1006" s="218" t="s">
        <v>4</v>
      </c>
      <c r="I1006" s="218" t="s">
        <v>2</v>
      </c>
      <c r="J1006" s="219" t="s">
        <v>498</v>
      </c>
      <c r="K1006" t="e">
        <f>(I1006/I1008)*1100</f>
        <v>#VALUE!</v>
      </c>
    </row>
    <row r="1007" spans="1:11" ht="12.75">
      <c r="A1007" s="114" t="s">
        <v>102</v>
      </c>
      <c r="B1007" s="116" t="s">
        <v>103</v>
      </c>
      <c r="C1007" s="123">
        <f>C1003^0.5</f>
        <v>0.10154833605981928</v>
      </c>
      <c r="D1007" s="16"/>
      <c r="F1007" s="218" t="s">
        <v>509</v>
      </c>
      <c r="G1007" s="218">
        <v>2.944444444444445</v>
      </c>
      <c r="H1007" s="218">
        <v>0.8559815433265622</v>
      </c>
      <c r="I1007" s="218">
        <v>54</v>
      </c>
      <c r="J1007">
        <f>H1007^2</f>
        <v>0.7327044025157232</v>
      </c>
      <c r="K1007">
        <f>(I1007/I1009)*43403</f>
        <v>20741.256637168142</v>
      </c>
    </row>
    <row r="1008" spans="1:11" ht="12.75">
      <c r="A1008" s="114" t="s">
        <v>104</v>
      </c>
      <c r="B1008" s="116" t="s">
        <v>105</v>
      </c>
      <c r="C1008" s="123">
        <f>((C1004-C1005)/(C1004-1))^0.5</f>
        <v>0.998719391848389</v>
      </c>
      <c r="D1008" s="16"/>
      <c r="F1008" s="218" t="s">
        <v>437</v>
      </c>
      <c r="G1008" s="218">
        <v>3.0677966101694922</v>
      </c>
      <c r="H1008" s="218">
        <v>0.7848656107161677</v>
      </c>
      <c r="I1008" s="218">
        <v>59</v>
      </c>
      <c r="J1008">
        <f>H1008^2</f>
        <v>0.6160140268848628</v>
      </c>
      <c r="K1008">
        <f>(I1008/I1009)*43403</f>
        <v>22661.74336283186</v>
      </c>
    </row>
    <row r="1009" spans="1:9" ht="12.75">
      <c r="A1009" s="114" t="s">
        <v>59</v>
      </c>
      <c r="B1009" s="116" t="s">
        <v>60</v>
      </c>
      <c r="C1009" s="123">
        <f>1-C1010</f>
        <v>0.95</v>
      </c>
      <c r="D1009" s="16"/>
      <c r="F1009" s="218" t="s">
        <v>198</v>
      </c>
      <c r="G1009" s="218">
        <v>3.0088495575221232</v>
      </c>
      <c r="H1009" s="218">
        <v>0.8182688086664489</v>
      </c>
      <c r="I1009" s="218">
        <v>113</v>
      </c>
    </row>
    <row r="1010" spans="1:4" ht="12.75">
      <c r="A1010" s="114" t="s">
        <v>61</v>
      </c>
      <c r="B1010" s="117" t="s">
        <v>61</v>
      </c>
      <c r="C1010" s="124">
        <v>0.05</v>
      </c>
      <c r="D1010" s="16"/>
    </row>
    <row r="1011" spans="1:4" ht="12.75">
      <c r="A1011" s="114" t="s">
        <v>62</v>
      </c>
      <c r="B1011" s="116" t="s">
        <v>83</v>
      </c>
      <c r="C1011" s="123">
        <f>1-(C1010/2)</f>
        <v>0.975</v>
      </c>
      <c r="D1011" s="16"/>
    </row>
    <row r="1012" spans="1:4" ht="12.75">
      <c r="A1012" s="114" t="s">
        <v>111</v>
      </c>
      <c r="B1012" s="116" t="s">
        <v>71</v>
      </c>
      <c r="C1012" s="123">
        <f>TINV(C1010,C1013)</f>
        <v>2.0017174680034495</v>
      </c>
      <c r="D1012" s="16"/>
    </row>
    <row r="1013" spans="1:4" ht="12.75">
      <c r="A1013" s="114" t="s">
        <v>112</v>
      </c>
      <c r="B1013" s="116" t="s">
        <v>73</v>
      </c>
      <c r="C1013" s="123">
        <f>C1005-1</f>
        <v>58</v>
      </c>
      <c r="D1013" s="16"/>
    </row>
    <row r="1014" spans="1:4" ht="12.75">
      <c r="A1014" s="114" t="s">
        <v>106</v>
      </c>
      <c r="B1014" s="117" t="s">
        <v>13</v>
      </c>
      <c r="C1014" s="124">
        <v>3.067</v>
      </c>
      <c r="D1014" s="16"/>
    </row>
    <row r="1015" spans="1:4" ht="12.75">
      <c r="A1015" s="114" t="s">
        <v>107</v>
      </c>
      <c r="B1015" s="116" t="s">
        <v>108</v>
      </c>
      <c r="C1015" s="123">
        <f>C1014-(C1012*C1007)</f>
        <v>2.8637289218623754</v>
      </c>
      <c r="D1015" s="16"/>
    </row>
    <row r="1016" spans="1:4" ht="12.75">
      <c r="A1016" s="114" t="s">
        <v>109</v>
      </c>
      <c r="B1016" s="116" t="s">
        <v>110</v>
      </c>
      <c r="C1016" s="123">
        <f>C1014+C1012*C1007</f>
        <v>3.270271078137625</v>
      </c>
      <c r="D1016" s="16"/>
    </row>
    <row r="1017" spans="1:4" ht="12.75">
      <c r="A1017" s="114" t="s">
        <v>229</v>
      </c>
      <c r="B1017" s="116" t="s">
        <v>230</v>
      </c>
      <c r="C1017" s="136">
        <f>C1016-C1015</f>
        <v>0.4065421562752496</v>
      </c>
      <c r="D1017" s="16"/>
    </row>
    <row r="1018" spans="1:4" ht="12.75">
      <c r="A1018" s="114" t="s">
        <v>231</v>
      </c>
      <c r="B1018" s="116" t="s">
        <v>232</v>
      </c>
      <c r="C1018" s="123">
        <f>C1017/C1015</f>
        <v>0.14196251369031887</v>
      </c>
      <c r="D1018" s="16"/>
    </row>
    <row r="1019" spans="1:4" ht="12.75">
      <c r="A1019" s="114" t="s">
        <v>233</v>
      </c>
      <c r="B1019" s="116" t="s">
        <v>234</v>
      </c>
      <c r="C1019" s="123">
        <f>C1018*100</f>
        <v>14.196251369031888</v>
      </c>
      <c r="D1019" s="16"/>
    </row>
    <row r="1020" spans="1:4" ht="12.75">
      <c r="A1020" s="114" t="s">
        <v>260</v>
      </c>
      <c r="B1020" s="116" t="s">
        <v>236</v>
      </c>
      <c r="C1020" s="136">
        <f>C1012*C1007</f>
        <v>0.20327107813762482</v>
      </c>
      <c r="D1020" s="16"/>
    </row>
    <row r="1021" spans="1:4" ht="12.75">
      <c r="A1021" s="114" t="s">
        <v>261</v>
      </c>
      <c r="B1021" s="116" t="s">
        <v>237</v>
      </c>
      <c r="C1021" s="137">
        <f>C1020/C1015</f>
        <v>0.07098125684515945</v>
      </c>
      <c r="D1021" s="16"/>
    </row>
    <row r="1022" spans="1:4" ht="12.75">
      <c r="A1022" s="114" t="s">
        <v>248</v>
      </c>
      <c r="B1022" s="116" t="s">
        <v>239</v>
      </c>
      <c r="C1022" s="137">
        <f>C1021*100</f>
        <v>7.098125684515945</v>
      </c>
      <c r="D1022" s="16"/>
    </row>
    <row r="1023" spans="1:4" ht="12.75">
      <c r="A1023" s="114" t="s">
        <v>240</v>
      </c>
      <c r="B1023" s="117" t="s">
        <v>241</v>
      </c>
      <c r="C1023" s="124">
        <v>5</v>
      </c>
      <c r="D1023" s="16"/>
    </row>
    <row r="1024" spans="1:4" ht="12.75">
      <c r="A1024" s="114" t="s">
        <v>244</v>
      </c>
      <c r="B1024" s="116" t="s">
        <v>246</v>
      </c>
      <c r="C1024" s="137">
        <f>C1020/C1023</f>
        <v>0.04065421562752496</v>
      </c>
      <c r="D1024" s="16"/>
    </row>
    <row r="1025" spans="1:4" ht="12.75">
      <c r="A1025" s="114" t="s">
        <v>245</v>
      </c>
      <c r="B1025" s="116" t="s">
        <v>247</v>
      </c>
      <c r="C1025" s="137">
        <f>C1024*100</f>
        <v>4.065421562752496</v>
      </c>
      <c r="D1025" s="16"/>
    </row>
    <row r="1026" spans="1:4" ht="13.5" thickBot="1">
      <c r="A1026" s="118" t="s">
        <v>242</v>
      </c>
      <c r="B1026" s="138" t="s">
        <v>243</v>
      </c>
      <c r="C1026" s="139">
        <f>100-C1025</f>
        <v>95.93457843724751</v>
      </c>
      <c r="D1026" s="16"/>
    </row>
    <row r="1027" spans="1:4" ht="12.75">
      <c r="A1027" s="24"/>
      <c r="B1027" s="25"/>
      <c r="C1027" s="25"/>
      <c r="D1027" s="16"/>
    </row>
    <row r="1028" spans="1:4" ht="12.75">
      <c r="A1028" s="16"/>
      <c r="B1028" s="17"/>
      <c r="C1028" s="17"/>
      <c r="D1028" s="16"/>
    </row>
    <row r="1029" spans="1:4" ht="13.5" thickBot="1">
      <c r="A1029" s="16"/>
      <c r="B1029" s="17"/>
      <c r="C1029" s="17"/>
      <c r="D1029" s="16"/>
    </row>
    <row r="1030" spans="1:4" ht="13.5" thickBot="1">
      <c r="A1030" s="35" t="s">
        <v>265</v>
      </c>
      <c r="B1030" s="140"/>
      <c r="C1030" s="141"/>
      <c r="D1030" s="16"/>
    </row>
    <row r="1031" spans="1:4" ht="12.75">
      <c r="A1031" s="112" t="s">
        <v>278</v>
      </c>
      <c r="B1031" s="134" t="s">
        <v>276</v>
      </c>
      <c r="C1031" s="135">
        <f>C1037*C1039*C1035</f>
        <v>39.51681150637791</v>
      </c>
      <c r="D1031" s="16"/>
    </row>
    <row r="1032" spans="1:4" ht="13.5" thickBot="1">
      <c r="A1032" s="114" t="s">
        <v>279</v>
      </c>
      <c r="B1032" s="116" t="s">
        <v>277</v>
      </c>
      <c r="C1032" s="123">
        <f>C1038*C1040*C1036</f>
        <v>36.29542213433523</v>
      </c>
      <c r="D1032" s="16"/>
    </row>
    <row r="1033" spans="1:9" ht="12.75">
      <c r="A1033" s="114" t="s">
        <v>113</v>
      </c>
      <c r="B1033" s="134" t="s">
        <v>283</v>
      </c>
      <c r="C1033" s="123">
        <f>(C1031*((C1035-1)/C1035)+C1032*((C1036-1)/C1036))/(C1035+C1036-2)</f>
        <v>0.6708582359341876</v>
      </c>
      <c r="D1033" s="16"/>
      <c r="F1033" s="217" t="s">
        <v>0</v>
      </c>
      <c r="G1033" s="217"/>
      <c r="H1033" s="217"/>
      <c r="I1033" s="217"/>
    </row>
    <row r="1034" spans="1:9" ht="12.75">
      <c r="A1034" s="114" t="s">
        <v>98</v>
      </c>
      <c r="B1034" s="117" t="s">
        <v>2</v>
      </c>
      <c r="C1034" s="124">
        <v>43403</v>
      </c>
      <c r="D1034" s="16"/>
      <c r="F1034" s="217" t="s">
        <v>0</v>
      </c>
      <c r="G1034" s="217"/>
      <c r="H1034" s="217"/>
      <c r="I1034" s="217"/>
    </row>
    <row r="1035" spans="1:9" ht="14.25">
      <c r="A1035" s="114" t="s">
        <v>114</v>
      </c>
      <c r="B1035" s="117" t="s">
        <v>266</v>
      </c>
      <c r="C1035" s="124">
        <v>54</v>
      </c>
      <c r="D1035" s="16"/>
      <c r="F1035" s="217" t="s">
        <v>507</v>
      </c>
      <c r="G1035" s="217"/>
      <c r="H1035" s="217"/>
      <c r="I1035" s="217"/>
    </row>
    <row r="1036" spans="1:11" ht="14.25">
      <c r="A1036" s="114" t="s">
        <v>116</v>
      </c>
      <c r="B1036" s="117" t="s">
        <v>267</v>
      </c>
      <c r="C1036" s="124">
        <v>59</v>
      </c>
      <c r="D1036" s="16">
        <f>C1037*C1037</f>
        <v>0.536855741465923</v>
      </c>
      <c r="F1036" s="217" t="s">
        <v>508</v>
      </c>
      <c r="G1036" s="217" t="s">
        <v>3</v>
      </c>
      <c r="H1036" s="217" t="s">
        <v>4</v>
      </c>
      <c r="I1036" s="217" t="s">
        <v>2</v>
      </c>
      <c r="J1036" s="219" t="s">
        <v>498</v>
      </c>
      <c r="K1036" t="e">
        <f>(I1036/I1038)*1100</f>
        <v>#VALUE!</v>
      </c>
    </row>
    <row r="1037" spans="1:11" ht="15.75">
      <c r="A1037" s="114" t="s">
        <v>118</v>
      </c>
      <c r="B1037" s="117" t="s">
        <v>268</v>
      </c>
      <c r="C1037" s="124">
        <v>0.7327044025157232</v>
      </c>
      <c r="D1037" s="16">
        <f>C1038*C1038</f>
        <v>0.3794732813189045</v>
      </c>
      <c r="F1037" s="217" t="s">
        <v>509</v>
      </c>
      <c r="G1037" s="217">
        <v>2.833333333333334</v>
      </c>
      <c r="H1037" s="217">
        <v>0.7404174696413538</v>
      </c>
      <c r="I1037" s="217">
        <v>54</v>
      </c>
      <c r="J1037">
        <f>H1037^2</f>
        <v>0.5482180293501051</v>
      </c>
      <c r="K1037">
        <f>(I1037/I1038)*43403</f>
        <v>39724.779661016946</v>
      </c>
    </row>
    <row r="1038" spans="1:11" ht="15.75">
      <c r="A1038" s="114" t="s">
        <v>119</v>
      </c>
      <c r="B1038" s="117" t="s">
        <v>269</v>
      </c>
      <c r="C1038" s="124">
        <v>0.6160140268848628</v>
      </c>
      <c r="D1038" s="16"/>
      <c r="F1038" s="217" t="s">
        <v>437</v>
      </c>
      <c r="G1038" s="217">
        <v>2.830508474576271</v>
      </c>
      <c r="H1038" s="217">
        <v>0.7385729259057403</v>
      </c>
      <c r="I1038" s="217">
        <v>59</v>
      </c>
      <c r="J1038">
        <f>H1038^2</f>
        <v>0.5454899668809662</v>
      </c>
      <c r="K1038">
        <f>(I1038/I1039)*43403</f>
        <v>22661.74336283186</v>
      </c>
    </row>
    <row r="1039" spans="1:9" ht="12.75">
      <c r="A1039" s="114" t="s">
        <v>273</v>
      </c>
      <c r="B1039" s="115" t="s">
        <v>275</v>
      </c>
      <c r="C1039" s="125">
        <f>(C1034-C1035)/C1034</f>
        <v>0.9987558463700665</v>
      </c>
      <c r="D1039" s="16"/>
      <c r="F1039" s="217" t="s">
        <v>198</v>
      </c>
      <c r="G1039" s="217">
        <v>2.8318584070796455</v>
      </c>
      <c r="H1039" s="217">
        <v>0.7361470557632814</v>
      </c>
      <c r="I1039" s="217">
        <v>113</v>
      </c>
    </row>
    <row r="1040" spans="1:4" ht="12.75">
      <c r="A1040" s="114" t="s">
        <v>274</v>
      </c>
      <c r="B1040" s="115" t="s">
        <v>275</v>
      </c>
      <c r="C1040" s="125">
        <f>(C1034-C1036)/C1034</f>
        <v>0.9986406469598875</v>
      </c>
      <c r="D1040" s="16"/>
    </row>
    <row r="1041" spans="1:4" ht="12.75">
      <c r="A1041" s="114" t="s">
        <v>120</v>
      </c>
      <c r="B1041" s="116" t="s">
        <v>281</v>
      </c>
      <c r="C1041" s="123">
        <f>C1033^0.5*((1/C1035)+(1/C1036))^0.5</f>
        <v>0.15425232329078106</v>
      </c>
      <c r="D1041" s="16"/>
    </row>
    <row r="1042" spans="1:4" ht="14.25">
      <c r="A1042" s="114" t="s">
        <v>121</v>
      </c>
      <c r="B1042" s="116" t="s">
        <v>270</v>
      </c>
      <c r="C1042" s="123">
        <f>((C1034-C1035)/(C1034-1))^0.5</f>
        <v>0.9993892425462351</v>
      </c>
      <c r="D1042" s="16"/>
    </row>
    <row r="1043" spans="1:4" ht="12.75">
      <c r="A1043" s="114" t="s">
        <v>122</v>
      </c>
      <c r="B1043" s="116" t="s">
        <v>123</v>
      </c>
      <c r="C1043" s="123">
        <f>((C1034-C1036)/(C1034-1))^0.5</f>
        <v>0.9993316046501864</v>
      </c>
      <c r="D1043" s="16"/>
    </row>
    <row r="1044" spans="1:4" ht="12.75">
      <c r="A1044" s="114" t="s">
        <v>59</v>
      </c>
      <c r="B1044" s="116" t="s">
        <v>60</v>
      </c>
      <c r="C1044" s="123">
        <f>1-C1045</f>
        <v>0.95</v>
      </c>
      <c r="D1044" s="16"/>
    </row>
    <row r="1045" spans="1:4" ht="12.75">
      <c r="A1045" s="114" t="s">
        <v>61</v>
      </c>
      <c r="B1045" s="117" t="s">
        <v>61</v>
      </c>
      <c r="C1045" s="124">
        <v>0.05</v>
      </c>
      <c r="D1045" s="16"/>
    </row>
    <row r="1046" spans="1:4" ht="12.75">
      <c r="A1046" s="114" t="s">
        <v>62</v>
      </c>
      <c r="B1046" s="116" t="s">
        <v>83</v>
      </c>
      <c r="C1046" s="123">
        <f>1-(C1045/2)</f>
        <v>0.975</v>
      </c>
      <c r="D1046" s="16"/>
    </row>
    <row r="1047" spans="1:4" ht="12.75">
      <c r="A1047" s="114" t="s">
        <v>111</v>
      </c>
      <c r="B1047" s="116" t="s">
        <v>71</v>
      </c>
      <c r="C1047" s="123">
        <f>TINV(C1045,C1048)</f>
        <v>1.9815666954781177</v>
      </c>
      <c r="D1047" s="16"/>
    </row>
    <row r="1048" spans="1:4" ht="12.75">
      <c r="A1048" s="114" t="s">
        <v>112</v>
      </c>
      <c r="B1048" s="116" t="s">
        <v>73</v>
      </c>
      <c r="C1048" s="123">
        <f>C1035+C1036-2</f>
        <v>111</v>
      </c>
      <c r="D1048" s="16"/>
    </row>
    <row r="1049" spans="1:4" ht="14.25">
      <c r="A1049" s="114" t="s">
        <v>82</v>
      </c>
      <c r="B1049" s="117" t="s">
        <v>271</v>
      </c>
      <c r="C1049" s="124">
        <v>2.944444444444445</v>
      </c>
      <c r="D1049" s="16"/>
    </row>
    <row r="1050" spans="1:4" ht="14.25">
      <c r="A1050" s="114" t="s">
        <v>124</v>
      </c>
      <c r="B1050" s="117" t="s">
        <v>272</v>
      </c>
      <c r="C1050" s="124">
        <v>3.0677966101694922</v>
      </c>
      <c r="D1050" s="16"/>
    </row>
    <row r="1051" spans="1:4" ht="12.75">
      <c r="A1051" s="114" t="s">
        <v>125</v>
      </c>
      <c r="B1051" s="116" t="s">
        <v>108</v>
      </c>
      <c r="C1051" s="123">
        <f>(C1049-C1050)-(C1047*C1041)</f>
        <v>-0.42901343225818245</v>
      </c>
      <c r="D1051" s="16"/>
    </row>
    <row r="1052" spans="1:4" ht="13.5" thickBot="1">
      <c r="A1052" s="118" t="s">
        <v>126</v>
      </c>
      <c r="B1052" s="138" t="s">
        <v>110</v>
      </c>
      <c r="C1052" s="142">
        <f>(C1049-C1050)+(C1047*C1041)</f>
        <v>0.18230910080808815</v>
      </c>
      <c r="D1052" s="16"/>
    </row>
    <row r="1053" spans="1:4" ht="13.5" thickBot="1">
      <c r="A1053" s="24"/>
      <c r="B1053" s="25"/>
      <c r="C1053" s="25"/>
      <c r="D1053" s="16"/>
    </row>
    <row r="1054" spans="1:4" ht="13.5" thickBot="1">
      <c r="A1054" s="35" t="s">
        <v>264</v>
      </c>
      <c r="B1054" s="140"/>
      <c r="C1054" s="141"/>
      <c r="D1054" s="16"/>
    </row>
    <row r="1055" spans="1:4" ht="12.75">
      <c r="A1055" s="114" t="s">
        <v>278</v>
      </c>
      <c r="B1055" s="116" t="s">
        <v>276</v>
      </c>
      <c r="C1055" s="123">
        <f>C1061*(C1059)</f>
        <v>16.016</v>
      </c>
      <c r="D1055" s="16"/>
    </row>
    <row r="1056" spans="1:4" ht="13.5" thickBot="1">
      <c r="A1056" s="114" t="s">
        <v>279</v>
      </c>
      <c r="B1056" s="116" t="s">
        <v>277</v>
      </c>
      <c r="C1056" s="123">
        <f>C1062*(C1060)</f>
        <v>47.971000000000004</v>
      </c>
      <c r="D1056" s="16"/>
    </row>
    <row r="1057" spans="1:4" ht="12.75">
      <c r="A1057" s="112" t="s">
        <v>113</v>
      </c>
      <c r="B1057" s="134" t="s">
        <v>284</v>
      </c>
      <c r="C1057" s="135">
        <f>(C1055*((C1059-1)/C1059)+C1056*((C1060-1)/C1060))/(C1059+C1060-2)</f>
        <v>0.33138219895287957</v>
      </c>
      <c r="D1057" s="16"/>
    </row>
    <row r="1058" spans="1:4" ht="12.75">
      <c r="A1058" s="114" t="s">
        <v>98</v>
      </c>
      <c r="B1058" s="117" t="s">
        <v>2</v>
      </c>
      <c r="C1058" s="124">
        <v>436</v>
      </c>
      <c r="D1058" s="16"/>
    </row>
    <row r="1059" spans="1:4" ht="14.25">
      <c r="A1059" s="114" t="s">
        <v>114</v>
      </c>
      <c r="B1059" s="117" t="s">
        <v>266</v>
      </c>
      <c r="C1059" s="124">
        <v>104</v>
      </c>
      <c r="D1059" s="16"/>
    </row>
    <row r="1060" spans="1:4" ht="14.25">
      <c r="A1060" s="114" t="s">
        <v>116</v>
      </c>
      <c r="B1060" s="117" t="s">
        <v>267</v>
      </c>
      <c r="C1060" s="124">
        <v>89</v>
      </c>
      <c r="D1060" s="16"/>
    </row>
    <row r="1061" spans="1:4" ht="15.75">
      <c r="A1061" s="114" t="s">
        <v>118</v>
      </c>
      <c r="B1061" s="117" t="s">
        <v>268</v>
      </c>
      <c r="C1061" s="124">
        <v>0.154</v>
      </c>
      <c r="D1061" s="16"/>
    </row>
    <row r="1062" spans="1:4" ht="15.75">
      <c r="A1062" s="114" t="s">
        <v>119</v>
      </c>
      <c r="B1062" s="117" t="s">
        <v>269</v>
      </c>
      <c r="C1062" s="124">
        <v>0.539</v>
      </c>
      <c r="D1062" s="16"/>
    </row>
    <row r="1063" spans="1:4" ht="12.75">
      <c r="A1063" s="114" t="s">
        <v>120</v>
      </c>
      <c r="B1063" s="116" t="s">
        <v>282</v>
      </c>
      <c r="C1063" s="123">
        <f>C1057^0.5*((1/C1059)+(1/C1060))^0.5</f>
        <v>0.0831249829562474</v>
      </c>
      <c r="D1063" s="16"/>
    </row>
    <row r="1064" spans="1:4" ht="14.25">
      <c r="A1064" s="114" t="s">
        <v>121</v>
      </c>
      <c r="B1064" s="116" t="s">
        <v>270</v>
      </c>
      <c r="C1064" s="123">
        <f>((C1058-C1059)/(C1058-1))^0.5</f>
        <v>0.8736237123639661</v>
      </c>
      <c r="D1064" s="16"/>
    </row>
    <row r="1065" spans="1:4" ht="12.75">
      <c r="A1065" s="114" t="s">
        <v>122</v>
      </c>
      <c r="B1065" s="116" t="s">
        <v>123</v>
      </c>
      <c r="C1065" s="123">
        <f>((C1058-C1060)/(C1058-1))^0.5</f>
        <v>0.8931411699307603</v>
      </c>
      <c r="D1065" s="16"/>
    </row>
    <row r="1066" spans="1:4" ht="12.75">
      <c r="A1066" s="114" t="s">
        <v>59</v>
      </c>
      <c r="B1066" s="116" t="s">
        <v>60</v>
      </c>
      <c r="C1066" s="123">
        <f>1-C1067</f>
        <v>0.95</v>
      </c>
      <c r="D1066" s="16"/>
    </row>
    <row r="1067" spans="1:4" ht="12.75">
      <c r="A1067" s="114" t="s">
        <v>61</v>
      </c>
      <c r="B1067" s="117" t="s">
        <v>61</v>
      </c>
      <c r="C1067" s="124">
        <v>0.05</v>
      </c>
      <c r="D1067" s="16"/>
    </row>
    <row r="1068" spans="1:4" ht="12.75">
      <c r="A1068" s="114" t="s">
        <v>62</v>
      </c>
      <c r="B1068" s="116" t="s">
        <v>83</v>
      </c>
      <c r="C1068" s="123">
        <f>1-(C1067/2)</f>
        <v>0.975</v>
      </c>
      <c r="D1068" s="16"/>
    </row>
    <row r="1069" spans="1:4" ht="12.75">
      <c r="A1069" s="114" t="s">
        <v>111</v>
      </c>
      <c r="B1069" s="116" t="s">
        <v>71</v>
      </c>
      <c r="C1069" s="123">
        <f>TINV(C1067,C1070)</f>
        <v>1.9724619458172743</v>
      </c>
      <c r="D1069" s="16"/>
    </row>
    <row r="1070" spans="1:4" ht="12.75">
      <c r="A1070" s="114" t="s">
        <v>112</v>
      </c>
      <c r="B1070" s="116" t="s">
        <v>73</v>
      </c>
      <c r="C1070" s="123">
        <f>C1059+C1060-2</f>
        <v>191</v>
      </c>
      <c r="D1070" s="16"/>
    </row>
    <row r="1071" spans="1:4" ht="14.25">
      <c r="A1071" s="114" t="s">
        <v>82</v>
      </c>
      <c r="B1071" s="117" t="s">
        <v>271</v>
      </c>
      <c r="C1071" s="124">
        <v>4.718</v>
      </c>
      <c r="D1071" s="16"/>
    </row>
    <row r="1072" spans="1:4" ht="14.25">
      <c r="A1072" s="114" t="s">
        <v>124</v>
      </c>
      <c r="B1072" s="117" t="s">
        <v>272</v>
      </c>
      <c r="C1072" s="124">
        <v>4.5</v>
      </c>
      <c r="D1072" s="16"/>
    </row>
    <row r="1073" spans="1:4" ht="12.75">
      <c r="A1073" s="114" t="s">
        <v>125</v>
      </c>
      <c r="B1073" s="116" t="s">
        <v>108</v>
      </c>
      <c r="C1073" s="123">
        <f>(C1071-C1072)-((C1069*C1063))</f>
        <v>0.05403913437209246</v>
      </c>
      <c r="D1073" s="16"/>
    </row>
    <row r="1074" spans="1:4" ht="13.5" thickBot="1">
      <c r="A1074" s="118" t="s">
        <v>126</v>
      </c>
      <c r="B1074" s="138" t="s">
        <v>110</v>
      </c>
      <c r="C1074" s="142">
        <f>(C1071-C1072)+((C1069*C1063))</f>
        <v>0.3819608656279075</v>
      </c>
      <c r="D1074" s="16"/>
    </row>
    <row r="1075" spans="1:4" ht="13.5" thickBot="1">
      <c r="A1075" s="172"/>
      <c r="B1075" s="116"/>
      <c r="C1075" s="116"/>
      <c r="D1075" s="16"/>
    </row>
    <row r="1076" spans="1:4" ht="13.5" thickBot="1">
      <c r="A1076" s="35" t="s">
        <v>397</v>
      </c>
      <c r="B1076" s="140"/>
      <c r="C1076" s="141"/>
      <c r="D1076" s="16"/>
    </row>
    <row r="1077" spans="1:4" ht="12.75">
      <c r="A1077" s="114" t="s">
        <v>278</v>
      </c>
      <c r="B1077" s="116" t="s">
        <v>276</v>
      </c>
      <c r="C1077" s="123">
        <f>C1082*C1080</f>
        <v>16.016</v>
      </c>
      <c r="D1077" s="16"/>
    </row>
    <row r="1078" spans="1:4" ht="12.75">
      <c r="A1078" s="114" t="s">
        <v>279</v>
      </c>
      <c r="B1078" s="116" t="s">
        <v>277</v>
      </c>
      <c r="C1078" s="123">
        <f>C1083*C1081</f>
        <v>47.971000000000004</v>
      </c>
      <c r="D1078" s="16"/>
    </row>
    <row r="1079" spans="1:4" ht="12.75">
      <c r="A1079" s="114" t="s">
        <v>98</v>
      </c>
      <c r="B1079" s="117" t="s">
        <v>2</v>
      </c>
      <c r="C1079" s="124">
        <v>436</v>
      </c>
      <c r="D1079" s="16"/>
    </row>
    <row r="1080" spans="1:4" ht="14.25">
      <c r="A1080" s="114" t="s">
        <v>114</v>
      </c>
      <c r="B1080" s="117" t="s">
        <v>266</v>
      </c>
      <c r="C1080" s="124">
        <v>104</v>
      </c>
      <c r="D1080" s="16"/>
    </row>
    <row r="1081" spans="1:4" ht="14.25">
      <c r="A1081" s="114" t="s">
        <v>116</v>
      </c>
      <c r="B1081" s="117" t="s">
        <v>267</v>
      </c>
      <c r="C1081" s="124">
        <v>89</v>
      </c>
      <c r="D1081" s="16"/>
    </row>
    <row r="1082" spans="1:4" ht="15.75">
      <c r="A1082" s="114" t="s">
        <v>118</v>
      </c>
      <c r="B1082" s="117" t="s">
        <v>268</v>
      </c>
      <c r="C1082" s="124">
        <v>0.154</v>
      </c>
      <c r="D1082" s="16"/>
    </row>
    <row r="1083" spans="1:4" ht="15.75">
      <c r="A1083" s="114" t="s">
        <v>119</v>
      </c>
      <c r="B1083" s="117" t="s">
        <v>269</v>
      </c>
      <c r="C1083" s="124">
        <v>0.539</v>
      </c>
      <c r="D1083" s="16"/>
    </row>
    <row r="1084" spans="1:4" ht="12.75">
      <c r="A1084" s="114" t="s">
        <v>120</v>
      </c>
      <c r="B1084" s="116" t="s">
        <v>282</v>
      </c>
      <c r="C1084" s="123">
        <f>((C1082/C1080)+(C1083/C1081))^0.5</f>
        <v>0.08681560347109343</v>
      </c>
      <c r="D1084" s="16"/>
    </row>
    <row r="1085" spans="1:4" ht="14.25">
      <c r="A1085" s="114" t="s">
        <v>121</v>
      </c>
      <c r="B1085" s="116" t="s">
        <v>270</v>
      </c>
      <c r="C1085" s="123">
        <f>((C1079-C1080)/(C1079-1))^0.5</f>
        <v>0.8736237123639661</v>
      </c>
      <c r="D1085" s="16"/>
    </row>
    <row r="1086" spans="1:4" ht="12.75">
      <c r="A1086" s="114" t="s">
        <v>122</v>
      </c>
      <c r="B1086" s="116" t="s">
        <v>123</v>
      </c>
      <c r="C1086" s="123">
        <f>((C1079-C1081)/(C1079-1))^0.5</f>
        <v>0.8931411699307603</v>
      </c>
      <c r="D1086" s="16"/>
    </row>
    <row r="1087" spans="1:4" ht="12.75">
      <c r="A1087" s="114" t="s">
        <v>59</v>
      </c>
      <c r="B1087" s="116" t="s">
        <v>60</v>
      </c>
      <c r="C1087" s="123">
        <f>1-C1088</f>
        <v>0.95</v>
      </c>
      <c r="D1087" s="16"/>
    </row>
    <row r="1088" spans="1:4" ht="12.75">
      <c r="A1088" s="114" t="s">
        <v>61</v>
      </c>
      <c r="B1088" s="117" t="s">
        <v>61</v>
      </c>
      <c r="C1088" s="124">
        <v>0.05</v>
      </c>
      <c r="D1088" s="16"/>
    </row>
    <row r="1089" spans="1:4" ht="12.75">
      <c r="A1089" s="114" t="s">
        <v>62</v>
      </c>
      <c r="B1089" s="116" t="s">
        <v>83</v>
      </c>
      <c r="C1089" s="123">
        <f>1-(C1088/2)</f>
        <v>0.975</v>
      </c>
      <c r="D1089" s="16"/>
    </row>
    <row r="1090" spans="1:4" ht="12.75">
      <c r="A1090" s="114" t="s">
        <v>111</v>
      </c>
      <c r="B1090" s="116" t="s">
        <v>71</v>
      </c>
      <c r="C1090" s="123">
        <f>TINV(C1088,C1093)</f>
        <v>1.9785244645517066</v>
      </c>
      <c r="D1090" s="16"/>
    </row>
    <row r="1091" spans="1:4" ht="12.75">
      <c r="A1091" s="114" t="s">
        <v>398</v>
      </c>
      <c r="B1091" s="116" t="s">
        <v>399</v>
      </c>
      <c r="C1091" s="123">
        <f>(C1084^2)^2</f>
        <v>5.6805600319800044E-05</v>
      </c>
      <c r="D1091" s="16"/>
    </row>
    <row r="1092" spans="1:4" ht="12.75">
      <c r="A1092" s="114" t="s">
        <v>400</v>
      </c>
      <c r="B1092" s="116" t="s">
        <v>401</v>
      </c>
      <c r="C1092" s="123">
        <f>(((C1082/C1080)^2/(C1080-1))+((C1083/C1081)^2/(C1081-1)))</f>
        <v>4.3807578428568846E-07</v>
      </c>
      <c r="D1092" s="16"/>
    </row>
    <row r="1093" spans="1:4" ht="12.75">
      <c r="A1093" s="114" t="s">
        <v>112</v>
      </c>
      <c r="B1093" s="116" t="s">
        <v>73</v>
      </c>
      <c r="C1093" s="123">
        <f>C1091/C1092</f>
        <v>129.67071533621822</v>
      </c>
      <c r="D1093" s="16"/>
    </row>
    <row r="1094" spans="1:4" ht="14.25">
      <c r="A1094" s="114" t="s">
        <v>82</v>
      </c>
      <c r="B1094" s="117" t="s">
        <v>271</v>
      </c>
      <c r="C1094" s="124">
        <v>4.718</v>
      </c>
      <c r="D1094" s="16"/>
    </row>
    <row r="1095" spans="1:4" ht="14.25">
      <c r="A1095" s="114" t="s">
        <v>124</v>
      </c>
      <c r="B1095" s="117" t="s">
        <v>272</v>
      </c>
      <c r="C1095" s="124">
        <v>4.5</v>
      </c>
      <c r="D1095" s="16"/>
    </row>
    <row r="1096" spans="1:4" ht="12.75">
      <c r="A1096" s="114" t="s">
        <v>125</v>
      </c>
      <c r="B1096" s="116" t="s">
        <v>108</v>
      </c>
      <c r="C1096" s="123">
        <f>(C1094-C1095)-((C1090*C1084))</f>
        <v>0.046233204627621566</v>
      </c>
      <c r="D1096" s="16"/>
    </row>
    <row r="1097" spans="1:4" ht="13.5" thickBot="1">
      <c r="A1097" s="118" t="s">
        <v>126</v>
      </c>
      <c r="B1097" s="138" t="s">
        <v>110</v>
      </c>
      <c r="C1097" s="142">
        <f>(C1094-C1095)+((C1090*C1084))</f>
        <v>0.38976679537237835</v>
      </c>
      <c r="D1097" s="16"/>
    </row>
    <row r="1098" spans="1:4" ht="12.75">
      <c r="A1098" s="16"/>
      <c r="B1098" s="17"/>
      <c r="C1098" s="17"/>
      <c r="D1098" s="16"/>
    </row>
    <row r="1099" spans="1:4" ht="12.75">
      <c r="A1099" s="16" t="s">
        <v>127</v>
      </c>
      <c r="B1099" s="17" t="s">
        <v>71</v>
      </c>
      <c r="C1099" s="17" t="e">
        <f>(C1103)/(C1104)^0.5</f>
        <v>#DIV/0!</v>
      </c>
      <c r="D1099" s="16"/>
    </row>
    <row r="1100" spans="1:4" ht="12.75">
      <c r="A1100" s="16" t="s">
        <v>128</v>
      </c>
      <c r="B1100" s="26" t="s">
        <v>30</v>
      </c>
      <c r="C1100" s="26"/>
      <c r="D1100" s="16"/>
    </row>
    <row r="1101" spans="1:4" ht="12.75">
      <c r="A1101" s="16" t="s">
        <v>129</v>
      </c>
      <c r="B1101" s="26" t="s">
        <v>32</v>
      </c>
      <c r="C1101" s="26"/>
      <c r="D1101" s="16"/>
    </row>
    <row r="1102" spans="1:4" ht="12.75">
      <c r="A1102" s="16" t="s">
        <v>130</v>
      </c>
      <c r="B1102" s="26" t="s">
        <v>131</v>
      </c>
      <c r="C1102" s="26"/>
      <c r="D1102" s="16"/>
    </row>
    <row r="1103" spans="1:4" ht="14.25">
      <c r="A1103" s="16" t="s">
        <v>132</v>
      </c>
      <c r="B1103" s="42" t="s">
        <v>133</v>
      </c>
      <c r="C1103" s="17">
        <f>SUM(B1100:B1102)</f>
        <v>0</v>
      </c>
      <c r="D1103" s="16"/>
    </row>
    <row r="1104" spans="1:4" ht="15.75">
      <c r="A1104" s="16" t="s">
        <v>134</v>
      </c>
      <c r="B1104" s="26" t="s">
        <v>135</v>
      </c>
      <c r="C1104" s="26"/>
      <c r="D1104" s="16"/>
    </row>
    <row r="1105" spans="1:4" ht="14.25">
      <c r="A1105" s="16" t="s">
        <v>136</v>
      </c>
      <c r="B1105" s="26" t="s">
        <v>115</v>
      </c>
      <c r="C1105" s="26"/>
      <c r="D1105" s="16"/>
    </row>
    <row r="1106" spans="1:4" ht="14.25">
      <c r="A1106" s="16" t="s">
        <v>137</v>
      </c>
      <c r="B1106" s="26" t="s">
        <v>117</v>
      </c>
      <c r="C1106" s="26"/>
      <c r="D1106" s="16"/>
    </row>
    <row r="1107" spans="1:4" ht="14.25">
      <c r="A1107" s="16" t="s">
        <v>138</v>
      </c>
      <c r="B1107" s="26" t="s">
        <v>139</v>
      </c>
      <c r="C1107" s="26"/>
      <c r="D1107" s="16"/>
    </row>
    <row r="1108" spans="1:4" ht="14.25">
      <c r="A1108" s="16" t="s">
        <v>140</v>
      </c>
      <c r="B1108" s="42" t="s">
        <v>141</v>
      </c>
      <c r="C1108" s="17">
        <f>SUM(B1105:B1107)</f>
        <v>0</v>
      </c>
      <c r="D1108" s="16"/>
    </row>
    <row r="1109" spans="1:4" ht="12.75">
      <c r="A1109" s="16" t="s">
        <v>142</v>
      </c>
      <c r="B1109" s="17" t="s">
        <v>73</v>
      </c>
      <c r="C1109" s="17"/>
      <c r="D1109" s="16" t="s">
        <v>143</v>
      </c>
    </row>
    <row r="1110" spans="1:4" ht="12.75">
      <c r="A1110" s="16"/>
      <c r="B1110" s="17"/>
      <c r="C1110" s="17"/>
      <c r="D1110" s="16"/>
    </row>
    <row r="1111" spans="1:4" ht="15.75">
      <c r="A1111" s="16" t="s">
        <v>144</v>
      </c>
      <c r="B1111" s="17" t="s">
        <v>145</v>
      </c>
      <c r="C1111" s="17" t="e">
        <f>((C1112)/(C1113+C1114))^0.5</f>
        <v>#DIV/0!</v>
      </c>
      <c r="D1111" s="16" t="s">
        <v>146</v>
      </c>
    </row>
    <row r="1112" spans="1:4" ht="12.75">
      <c r="A1112" s="16" t="s">
        <v>147</v>
      </c>
      <c r="B1112" s="26" t="s">
        <v>148</v>
      </c>
      <c r="C1112" s="26"/>
      <c r="D1112" s="16"/>
    </row>
    <row r="1113" spans="1:4" ht="12.75">
      <c r="A1113" s="16" t="s">
        <v>149</v>
      </c>
      <c r="B1113" s="26" t="s">
        <v>150</v>
      </c>
      <c r="C1113" s="26"/>
      <c r="D1113" s="16"/>
    </row>
    <row r="1114" spans="1:4" ht="12.75">
      <c r="A1114" s="16" t="s">
        <v>151</v>
      </c>
      <c r="B1114" s="26" t="s">
        <v>152</v>
      </c>
      <c r="C1114" s="26"/>
      <c r="D1114" s="16"/>
    </row>
    <row r="1115" spans="1:4" ht="15.75">
      <c r="A1115" s="16" t="s">
        <v>153</v>
      </c>
      <c r="B1115" s="17" t="s">
        <v>154</v>
      </c>
      <c r="C1115" s="17" t="e">
        <f>(C1112/C1114)^0.5</f>
        <v>#DIV/0!</v>
      </c>
      <c r="D1115" s="16"/>
    </row>
    <row r="1116" spans="1:4" ht="15.75">
      <c r="A1116" s="16" t="s">
        <v>155</v>
      </c>
      <c r="B1116" s="17" t="s">
        <v>156</v>
      </c>
      <c r="C1116" s="17"/>
      <c r="D1116" s="16" t="s">
        <v>157</v>
      </c>
    </row>
    <row r="1117" spans="1:4" ht="15.75">
      <c r="A1117" s="43" t="s">
        <v>158</v>
      </c>
      <c r="B1117" s="44" t="s">
        <v>159</v>
      </c>
      <c r="C1117" s="44" t="e">
        <f>((C1118^0.5)/(C1118^0.5+C1119))^0.5</f>
        <v>#DIV/0!</v>
      </c>
      <c r="D1117" s="16"/>
    </row>
    <row r="1118" spans="1:4" ht="12.75">
      <c r="A1118" s="43" t="s">
        <v>111</v>
      </c>
      <c r="B1118" s="45" t="s">
        <v>71</v>
      </c>
      <c r="C1118" s="45"/>
      <c r="D1118" s="16"/>
    </row>
    <row r="1119" spans="1:4" ht="12.75">
      <c r="A1119" s="43" t="s">
        <v>112</v>
      </c>
      <c r="B1119" s="45" t="s">
        <v>73</v>
      </c>
      <c r="C1119" s="45"/>
      <c r="D1119" s="16"/>
    </row>
    <row r="1120" spans="1:4" ht="12.75">
      <c r="A1120" s="46" t="s">
        <v>160</v>
      </c>
      <c r="B1120" s="47" t="s">
        <v>75</v>
      </c>
      <c r="C1120" s="47" t="e">
        <f>C1121/((C1122/C1123)^0.5)</f>
        <v>#DIV/0!</v>
      </c>
      <c r="D1120" s="16" t="s">
        <v>161</v>
      </c>
    </row>
    <row r="1121" spans="1:4" ht="12.75">
      <c r="A1121" s="46" t="s">
        <v>26</v>
      </c>
      <c r="B1121" s="47" t="s">
        <v>162</v>
      </c>
      <c r="C1121" s="47" t="e">
        <f>(C1124-C1125)/C1126</f>
        <v>#DIV/0!</v>
      </c>
      <c r="D1121" s="16"/>
    </row>
    <row r="1122" spans="1:4" ht="12.75">
      <c r="A1122" s="46" t="s">
        <v>163</v>
      </c>
      <c r="B1122" s="48" t="s">
        <v>100</v>
      </c>
      <c r="C1122" s="48"/>
      <c r="D1122" s="16"/>
    </row>
    <row r="1123" spans="1:4" ht="12.75">
      <c r="A1123" s="46" t="s">
        <v>164</v>
      </c>
      <c r="B1123" s="48" t="s">
        <v>73</v>
      </c>
      <c r="C1123" s="48"/>
      <c r="D1123" s="16"/>
    </row>
    <row r="1124" spans="1:4" ht="12.75">
      <c r="A1124" s="46" t="s">
        <v>128</v>
      </c>
      <c r="B1124" s="48" t="s">
        <v>30</v>
      </c>
      <c r="C1124" s="48"/>
      <c r="D1124" s="16"/>
    </row>
    <row r="1125" spans="1:4" ht="12.75">
      <c r="A1125" s="46" t="s">
        <v>129</v>
      </c>
      <c r="B1125" s="48" t="s">
        <v>32</v>
      </c>
      <c r="C1125" s="48"/>
      <c r="D1125" s="16"/>
    </row>
    <row r="1126" spans="1:4" ht="14.25">
      <c r="A1126" s="46" t="s">
        <v>165</v>
      </c>
      <c r="B1126" s="47" t="s">
        <v>166</v>
      </c>
      <c r="C1126" s="47" t="e">
        <f>C1127*((C1123/C1122)^0.5)</f>
        <v>#DIV/0!</v>
      </c>
      <c r="D1126" s="16"/>
    </row>
    <row r="1127" spans="1:4" ht="14.25">
      <c r="A1127" s="46" t="s">
        <v>167</v>
      </c>
      <c r="B1127" s="48" t="s">
        <v>168</v>
      </c>
      <c r="C1127" s="48"/>
      <c r="D1127" s="16"/>
    </row>
    <row r="1128" spans="1:4" ht="14.25">
      <c r="A1128" s="16" t="s">
        <v>169</v>
      </c>
      <c r="B1128" s="17" t="s">
        <v>170</v>
      </c>
      <c r="C1128" s="17" t="e">
        <f>((4*C1115^2)/(1+3*C1115^2))^0.5</f>
        <v>#DIV/0!</v>
      </c>
      <c r="D1128" s="16"/>
    </row>
    <row r="1129" spans="1:4" ht="12.75">
      <c r="A1129" s="16"/>
      <c r="B1129" s="17"/>
      <c r="C1129" s="17"/>
      <c r="D1129" s="16"/>
    </row>
    <row r="1130" spans="1:4" ht="12.75">
      <c r="A1130" s="16"/>
      <c r="B1130" s="17"/>
      <c r="C1130" s="17"/>
      <c r="D1130" s="16"/>
    </row>
    <row r="1131" spans="1:4" ht="12.75">
      <c r="A1131" s="16"/>
      <c r="B1131" s="17"/>
      <c r="C1131" s="17"/>
      <c r="D1131" s="16"/>
    </row>
    <row r="1132" spans="1:4" ht="12.75">
      <c r="A1132" s="27"/>
      <c r="B1132" s="28"/>
      <c r="C1132" s="29"/>
      <c r="D1132" s="16"/>
    </row>
    <row r="1133" spans="1:4" ht="12.75">
      <c r="A1133" s="30"/>
      <c r="B1133" s="25"/>
      <c r="C1133" s="31"/>
      <c r="D1133" s="16"/>
    </row>
    <row r="1134" spans="1:4" ht="12.75">
      <c r="A1134" s="30"/>
      <c r="B1134" s="25"/>
      <c r="C1134" s="31"/>
      <c r="D1134" s="16"/>
    </row>
    <row r="1135" spans="1:4" ht="12.75">
      <c r="A1135" s="30"/>
      <c r="B1135" s="25"/>
      <c r="C1135" s="31"/>
      <c r="D1135" s="16"/>
    </row>
    <row r="1136" spans="1:4" ht="12.75">
      <c r="A1136" s="30"/>
      <c r="B1136" s="25"/>
      <c r="C1136" s="31"/>
      <c r="D1136" s="16"/>
    </row>
    <row r="1137" spans="1:4" ht="12.75">
      <c r="A1137" s="30"/>
      <c r="B1137" s="25"/>
      <c r="C1137" s="31"/>
      <c r="D1137" s="16"/>
    </row>
    <row r="1138" spans="1:4" ht="12.75">
      <c r="A1138" s="30"/>
      <c r="B1138" s="25"/>
      <c r="C1138" s="31"/>
      <c r="D1138" s="16"/>
    </row>
    <row r="1139" spans="1:4" ht="12.75">
      <c r="A1139" s="30"/>
      <c r="B1139" s="25"/>
      <c r="C1139" s="31"/>
      <c r="D1139" s="16"/>
    </row>
    <row r="1140" spans="1:4" ht="12.75">
      <c r="A1140" s="32"/>
      <c r="B1140" s="33"/>
      <c r="C1140" s="34"/>
      <c r="D1140" s="16"/>
    </row>
    <row r="1141" spans="1:4" ht="12.75">
      <c r="A1141" s="16"/>
      <c r="B1141" s="17"/>
      <c r="C1141" s="17"/>
      <c r="D1141" s="16"/>
    </row>
    <row r="1142" spans="1:4" ht="12.75">
      <c r="A1142" s="16"/>
      <c r="B1142" s="17"/>
      <c r="C1142" s="17"/>
      <c r="D1142" s="16"/>
    </row>
    <row r="1143" spans="1:4" ht="12.75">
      <c r="A1143" s="16"/>
      <c r="B1143" s="17"/>
      <c r="C1143" s="17"/>
      <c r="D1143" s="16"/>
    </row>
    <row r="1144" spans="1:4" ht="12.75">
      <c r="A1144" s="16"/>
      <c r="B1144" s="17"/>
      <c r="C1144" s="17"/>
      <c r="D1144" s="16"/>
    </row>
    <row r="1145" spans="1:4" ht="12.75">
      <c r="A1145" s="16"/>
      <c r="B1145" s="17"/>
      <c r="C1145" s="17"/>
      <c r="D1145" s="16"/>
    </row>
    <row r="1146" spans="1:4" ht="12.75">
      <c r="A1146" s="16"/>
      <c r="B1146" s="17"/>
      <c r="C1146" s="17"/>
      <c r="D1146" s="16"/>
    </row>
    <row r="1147" spans="1:4" ht="12.75">
      <c r="A1147" s="16"/>
      <c r="B1147" s="17"/>
      <c r="C1147" s="17"/>
      <c r="D1147" s="16"/>
    </row>
    <row r="1148" spans="1:4" ht="12.75">
      <c r="A1148" s="16"/>
      <c r="B1148" s="17"/>
      <c r="C1148" s="17"/>
      <c r="D1148" s="16"/>
    </row>
    <row r="1149" spans="1:4" ht="12.75">
      <c r="A1149" s="16"/>
      <c r="B1149" s="17"/>
      <c r="C1149" s="17"/>
      <c r="D1149" s="16"/>
    </row>
    <row r="1150" spans="1:4" ht="12.75">
      <c r="A1150" s="16"/>
      <c r="B1150" s="17"/>
      <c r="C1150" s="17"/>
      <c r="D1150" s="16"/>
    </row>
    <row r="1151" spans="1:4" ht="13.5" thickBot="1">
      <c r="A1151" s="16"/>
      <c r="B1151" s="17"/>
      <c r="C1151" s="17"/>
      <c r="D1151" s="16"/>
    </row>
    <row r="1152" spans="1:4" ht="13.5" thickBot="1">
      <c r="A1152" s="154" t="s">
        <v>303</v>
      </c>
      <c r="B1152" s="17"/>
      <c r="C1152" s="17"/>
      <c r="D1152" s="16"/>
    </row>
    <row r="1153" spans="1:4" ht="15.75">
      <c r="A1153" s="36" t="s">
        <v>294</v>
      </c>
      <c r="B1153" s="37" t="s">
        <v>295</v>
      </c>
      <c r="C1153" s="143">
        <f>((1-C1154)*((1/C1157)+(1/C1158))*C1155)/C1154</f>
        <v>0.2814261112416922</v>
      </c>
      <c r="D1153" s="16"/>
    </row>
    <row r="1154" spans="1:4" ht="12.75">
      <c r="A1154" s="38" t="s">
        <v>289</v>
      </c>
      <c r="B1154" s="144" t="s">
        <v>296</v>
      </c>
      <c r="C1154" s="145">
        <v>0.934</v>
      </c>
      <c r="D1154" s="16"/>
    </row>
    <row r="1155" spans="1:4" ht="12.75">
      <c r="A1155" s="38" t="s">
        <v>297</v>
      </c>
      <c r="B1155" s="20" t="s">
        <v>73</v>
      </c>
      <c r="C1155" s="146">
        <f>C1157+C1158-2</f>
        <v>191</v>
      </c>
      <c r="D1155" s="16"/>
    </row>
    <row r="1156" spans="1:4" ht="12.75">
      <c r="A1156" s="38" t="s">
        <v>298</v>
      </c>
      <c r="B1156" s="25"/>
      <c r="C1156" s="39"/>
      <c r="D1156" s="16"/>
    </row>
    <row r="1157" spans="1:4" ht="14.25">
      <c r="A1157" s="114" t="s">
        <v>114</v>
      </c>
      <c r="B1157" s="117" t="s">
        <v>266</v>
      </c>
      <c r="C1157" s="124">
        <v>104</v>
      </c>
      <c r="D1157" s="16"/>
    </row>
    <row r="1158" spans="1:4" ht="14.25">
      <c r="A1158" s="114" t="s">
        <v>116</v>
      </c>
      <c r="B1158" s="117" t="s">
        <v>267</v>
      </c>
      <c r="C1158" s="124">
        <v>89</v>
      </c>
      <c r="D1158" s="16"/>
    </row>
    <row r="1159" spans="1:4" ht="15.75">
      <c r="A1159" s="38" t="s">
        <v>299</v>
      </c>
      <c r="B1159" s="147" t="s">
        <v>300</v>
      </c>
      <c r="C1159" s="39">
        <f>1-C1154</f>
        <v>0.06599999999999995</v>
      </c>
      <c r="D1159" s="16" t="s">
        <v>301</v>
      </c>
    </row>
    <row r="1160" spans="1:4" ht="12.75">
      <c r="A1160" s="38" t="s">
        <v>302</v>
      </c>
      <c r="B1160" s="25" t="s">
        <v>310</v>
      </c>
      <c r="C1160" s="39">
        <f>C1159^0.5</f>
        <v>0.2569046515733025</v>
      </c>
      <c r="D1160" s="16"/>
    </row>
    <row r="1161" spans="1:4" ht="15.75">
      <c r="A1161" s="38" t="s">
        <v>304</v>
      </c>
      <c r="B1161" s="144" t="s">
        <v>306</v>
      </c>
      <c r="C1161" s="145">
        <v>0.035</v>
      </c>
      <c r="D1161" s="16"/>
    </row>
    <row r="1162" spans="1:4" ht="15.75">
      <c r="A1162" s="38" t="s">
        <v>305</v>
      </c>
      <c r="B1162" s="144" t="s">
        <v>307</v>
      </c>
      <c r="C1162" s="145">
        <v>0.058</v>
      </c>
      <c r="D1162" s="16"/>
    </row>
    <row r="1163" spans="1:4" ht="12.75">
      <c r="A1163" s="38" t="s">
        <v>308</v>
      </c>
      <c r="B1163" s="25" t="s">
        <v>311</v>
      </c>
      <c r="C1163" s="39">
        <f>C1161^0.5</f>
        <v>0.18708286933869708</v>
      </c>
      <c r="D1163" s="16"/>
    </row>
    <row r="1164" spans="1:4" ht="12.75">
      <c r="A1164" s="38" t="s">
        <v>309</v>
      </c>
      <c r="B1164" s="25" t="s">
        <v>312</v>
      </c>
      <c r="C1164" s="39">
        <f>C1162^0.5</f>
        <v>0.24083189157584592</v>
      </c>
      <c r="D1164" s="16"/>
    </row>
    <row r="1165" spans="1:4" ht="13.5" thickBot="1">
      <c r="A1165" s="40" t="s">
        <v>313</v>
      </c>
      <c r="B1165" s="41" t="s">
        <v>313</v>
      </c>
      <c r="C1165" s="148">
        <f>(C1161+C1162)/2</f>
        <v>0.0465</v>
      </c>
      <c r="D1165" s="16" t="s">
        <v>314</v>
      </c>
    </row>
    <row r="1166" spans="1:4" ht="12.75">
      <c r="A1166" s="16"/>
      <c r="B1166" s="17"/>
      <c r="C1166" s="17"/>
      <c r="D1166" s="16"/>
    </row>
    <row r="1167" spans="1:4" ht="12.75">
      <c r="A1167" s="16"/>
      <c r="B1167" s="17"/>
      <c r="C1167" s="17"/>
      <c r="D1167" s="16"/>
    </row>
    <row r="1168" spans="1:4" ht="13.5" thickBot="1">
      <c r="A1168" s="16"/>
      <c r="B1168" s="17"/>
      <c r="C1168" s="17"/>
      <c r="D1168" s="16"/>
    </row>
    <row r="1169" spans="1:4" ht="13.5" thickBot="1">
      <c r="A1169" s="154" t="s">
        <v>315</v>
      </c>
      <c r="B1169" s="17"/>
      <c r="C1169" s="17"/>
      <c r="D1169" s="16"/>
    </row>
    <row r="1170" spans="1:4" ht="12.75">
      <c r="A1170" s="36" t="s">
        <v>316</v>
      </c>
      <c r="B1170" s="149" t="s">
        <v>318</v>
      </c>
      <c r="C1170" s="150">
        <v>2.278</v>
      </c>
      <c r="D1170" s="16"/>
    </row>
    <row r="1171" spans="1:4" ht="12.75">
      <c r="A1171" s="38" t="s">
        <v>317</v>
      </c>
      <c r="B1171" s="151" t="s">
        <v>319</v>
      </c>
      <c r="C1171" s="145">
        <v>63.338</v>
      </c>
      <c r="D1171" s="16"/>
    </row>
    <row r="1172" spans="1:4" ht="12.75">
      <c r="A1172" s="38" t="s">
        <v>151</v>
      </c>
      <c r="B1172" s="25" t="s">
        <v>320</v>
      </c>
      <c r="C1172" s="39">
        <f>SUM(C1170:C1171)</f>
        <v>65.616</v>
      </c>
      <c r="D1172" s="16"/>
    </row>
    <row r="1173" spans="1:4" ht="15.75">
      <c r="A1173" s="38" t="s">
        <v>191</v>
      </c>
      <c r="B1173" s="147" t="s">
        <v>300</v>
      </c>
      <c r="C1173" s="39">
        <f>C1170/C1171</f>
        <v>0.035965770943193656</v>
      </c>
      <c r="D1173" s="16"/>
    </row>
    <row r="1174" spans="1:4" ht="15.75">
      <c r="A1174" s="38" t="s">
        <v>323</v>
      </c>
      <c r="B1174" s="147" t="s">
        <v>321</v>
      </c>
      <c r="C1174" s="39">
        <f>((C1170-(C1175*C1178)))/((C1170+(C1179-C1175)*C1178))</f>
        <v>0.029514145529126158</v>
      </c>
      <c r="D1174" s="16"/>
    </row>
    <row r="1175" spans="1:4" ht="14.25">
      <c r="A1175" s="38" t="s">
        <v>322</v>
      </c>
      <c r="B1175" s="20" t="s">
        <v>324</v>
      </c>
      <c r="C1175" s="146">
        <f>C1177-1</f>
        <v>1</v>
      </c>
      <c r="D1175" s="16"/>
    </row>
    <row r="1176" spans="1:4" ht="14.25">
      <c r="A1176" s="38" t="s">
        <v>328</v>
      </c>
      <c r="B1176" s="20" t="s">
        <v>329</v>
      </c>
      <c r="C1176" s="146">
        <f>C1179-C1177</f>
        <v>191</v>
      </c>
      <c r="D1176" s="16"/>
    </row>
    <row r="1177" spans="1:4" ht="12.75">
      <c r="A1177" s="38" t="s">
        <v>325</v>
      </c>
      <c r="B1177" s="151" t="s">
        <v>326</v>
      </c>
      <c r="C1177" s="145">
        <v>2</v>
      </c>
      <c r="D1177" s="16"/>
    </row>
    <row r="1178" spans="1:4" ht="14.25">
      <c r="A1178" s="38" t="s">
        <v>215</v>
      </c>
      <c r="B1178" s="25" t="s">
        <v>327</v>
      </c>
      <c r="C1178" s="39">
        <f>C1171/C1176</f>
        <v>0.3316125654450262</v>
      </c>
      <c r="D1178" s="16"/>
    </row>
    <row r="1179" spans="1:4" ht="13.5" thickBot="1">
      <c r="A1179" s="40" t="s">
        <v>99</v>
      </c>
      <c r="B1179" s="152" t="s">
        <v>2</v>
      </c>
      <c r="C1179" s="153">
        <v>193</v>
      </c>
      <c r="D1179" s="16"/>
    </row>
    <row r="1180" spans="1:4" ht="13.5" thickBot="1">
      <c r="A1180" s="19"/>
      <c r="B1180" s="20"/>
      <c r="C1180" s="20"/>
      <c r="D1180" s="22"/>
    </row>
    <row r="1181" spans="1:4" ht="13.5" thickBot="1">
      <c r="A1181" s="168" t="s">
        <v>344</v>
      </c>
      <c r="B1181" s="20"/>
      <c r="C1181" s="20"/>
      <c r="D1181" s="22"/>
    </row>
    <row r="1182" spans="1:4" ht="12.75">
      <c r="A1182" s="36" t="s">
        <v>316</v>
      </c>
      <c r="B1182" s="149" t="s">
        <v>318</v>
      </c>
      <c r="C1182" s="150">
        <v>1.212</v>
      </c>
      <c r="D1182" s="22"/>
    </row>
    <row r="1183" spans="1:4" ht="12.75">
      <c r="A1183" s="38" t="s">
        <v>317</v>
      </c>
      <c r="B1183" s="151" t="s">
        <v>319</v>
      </c>
      <c r="C1183" s="145">
        <v>64.785</v>
      </c>
      <c r="D1183" s="22">
        <f>C1183/C1188</f>
        <v>0.21813131313131312</v>
      </c>
    </row>
    <row r="1184" spans="1:4" ht="12.75">
      <c r="A1184" s="38" t="s">
        <v>151</v>
      </c>
      <c r="B1184" s="25" t="s">
        <v>320</v>
      </c>
      <c r="C1184" s="39">
        <f>SUM(C1182:C1183)</f>
        <v>65.997</v>
      </c>
      <c r="D1184" s="22"/>
    </row>
    <row r="1185" spans="1:4" ht="15.75">
      <c r="A1185" s="38" t="s">
        <v>191</v>
      </c>
      <c r="B1185" s="25" t="s">
        <v>300</v>
      </c>
      <c r="C1185" s="39">
        <f>C1182/C1184</f>
        <v>0.018364471112323286</v>
      </c>
      <c r="D1185" s="22"/>
    </row>
    <row r="1186" spans="1:4" ht="12.75">
      <c r="A1186" s="169" t="s">
        <v>374</v>
      </c>
      <c r="B1186" s="151"/>
      <c r="C1186" s="145">
        <v>4.363636363636363</v>
      </c>
      <c r="D1186" s="22"/>
    </row>
    <row r="1187" spans="1:4" ht="12.75">
      <c r="A1187" s="159" t="s">
        <v>375</v>
      </c>
      <c r="B1187" s="151"/>
      <c r="C1187" s="145">
        <v>4.275805369127519</v>
      </c>
      <c r="D1187" s="22"/>
    </row>
    <row r="1188" spans="1:4" ht="12.75">
      <c r="A1188" s="159" t="s">
        <v>376</v>
      </c>
      <c r="B1188" s="151"/>
      <c r="C1188" s="145">
        <v>297</v>
      </c>
      <c r="D1188" s="161"/>
    </row>
    <row r="1189" spans="1:4" ht="12.75">
      <c r="A1189" s="169" t="s">
        <v>376</v>
      </c>
      <c r="B1189" s="151"/>
      <c r="C1189" s="145">
        <v>297</v>
      </c>
      <c r="D1189" s="161"/>
    </row>
    <row r="1190" spans="1:4" ht="12.75">
      <c r="A1190" s="169" t="s">
        <v>377</v>
      </c>
      <c r="B1190" s="151"/>
      <c r="C1190" s="145">
        <v>0.5565110565110574</v>
      </c>
      <c r="D1190" s="22"/>
    </row>
    <row r="1191" spans="1:4" ht="12.75">
      <c r="A1191" s="159" t="s">
        <v>382</v>
      </c>
      <c r="B1191" s="151"/>
      <c r="C1191" s="145">
        <v>0.38414766569496617</v>
      </c>
      <c r="D1191" s="22"/>
    </row>
    <row r="1192" spans="1:4" ht="12.75">
      <c r="A1192" s="159" t="s">
        <v>378</v>
      </c>
      <c r="B1192" s="19"/>
      <c r="C1192" s="146">
        <f>C1190^0.5</f>
        <v>0.7459966866622515</v>
      </c>
      <c r="D1192" s="22"/>
    </row>
    <row r="1193" spans="1:4" ht="12.75">
      <c r="A1193" s="159" t="s">
        <v>379</v>
      </c>
      <c r="B1193" s="19"/>
      <c r="C1193" s="146">
        <f>C1191^0.5</f>
        <v>0.6197964711862808</v>
      </c>
      <c r="D1193" s="22"/>
    </row>
    <row r="1194" spans="1:4" ht="12.75">
      <c r="A1194" s="169" t="s">
        <v>380</v>
      </c>
      <c r="B1194" s="20"/>
      <c r="C1194" s="146">
        <f>C1192/C1188^0.5</f>
        <v>0.04328711818829398</v>
      </c>
      <c r="D1194" s="22"/>
    </row>
    <row r="1195" spans="1:4" ht="12.75">
      <c r="A1195" s="159" t="s">
        <v>381</v>
      </c>
      <c r="B1195" s="20"/>
      <c r="C1195" s="146">
        <f>C1193/C1189^0.5</f>
        <v>0.03596423895790699</v>
      </c>
      <c r="D1195" s="22"/>
    </row>
    <row r="1196" spans="1:4" ht="12.75">
      <c r="A1196" s="169" t="s">
        <v>373</v>
      </c>
      <c r="B1196" s="20"/>
      <c r="C1196" s="146">
        <f>C1190+C1191</f>
        <v>0.9406587222060235</v>
      </c>
      <c r="D1196" s="22">
        <f>((C1190+C1191)^2)^0.5</f>
        <v>0.9406587222060235</v>
      </c>
    </row>
    <row r="1197" spans="1:4" ht="12.75">
      <c r="A1197" s="169" t="s">
        <v>372</v>
      </c>
      <c r="B1197" s="20"/>
      <c r="C1197" s="146">
        <f>(C1188-1)*C1196</f>
        <v>278.43498177298295</v>
      </c>
      <c r="D1197" s="22"/>
    </row>
    <row r="1198" spans="1:4" ht="15.75">
      <c r="A1198" s="38" t="s">
        <v>383</v>
      </c>
      <c r="B1198" s="25" t="s">
        <v>392</v>
      </c>
      <c r="C1198" s="39">
        <f>C1182/(C1182+C1197)</f>
        <v>0.004334035691412897</v>
      </c>
      <c r="D1198" s="22"/>
    </row>
    <row r="1199" spans="1:4" ht="15.75">
      <c r="A1199" s="170" t="s">
        <v>391</v>
      </c>
      <c r="B1199" s="165" t="s">
        <v>393</v>
      </c>
      <c r="C1199" s="171">
        <f>((C1182-(C1202*C1196))/((C1182+(C1188+C1189-C1202)*C1196)))</f>
        <v>0.0004853851471932199</v>
      </c>
      <c r="D1199" s="22"/>
    </row>
    <row r="1200" spans="1:4" ht="12.75">
      <c r="A1200" s="38" t="s">
        <v>396</v>
      </c>
      <c r="B1200" s="25"/>
      <c r="C1200" s="39">
        <f>C1183/(C1188-1)</f>
        <v>0.21886824324324322</v>
      </c>
      <c r="D1200" s="16"/>
    </row>
    <row r="1201" spans="1:4" ht="12.75">
      <c r="A1201" s="38" t="s">
        <v>394</v>
      </c>
      <c r="B1201" s="25"/>
      <c r="C1201" s="128">
        <f>C1197/(C1188+C1189-2)</f>
        <v>0.47032936110301177</v>
      </c>
      <c r="D1201" s="16"/>
    </row>
    <row r="1202" spans="1:4" ht="12.75">
      <c r="A1202" s="38" t="s">
        <v>395</v>
      </c>
      <c r="B1202" s="151"/>
      <c r="C1202" s="145">
        <v>1</v>
      </c>
      <c r="D1202" s="16"/>
    </row>
    <row r="1203" spans="1:4" ht="13.5" thickBot="1">
      <c r="A1203" s="105" t="s">
        <v>323</v>
      </c>
      <c r="B1203" s="157"/>
      <c r="C1203" s="158">
        <f>((C1182-(C1202*C1200))/((C1182+(C1188+C1189-C1202)*C1200)))</f>
        <v>0.007581108202372397</v>
      </c>
      <c r="D1203" s="16"/>
    </row>
    <row r="1204" spans="1:4" ht="13.5" thickBot="1">
      <c r="A1204" s="16"/>
      <c r="B1204" s="17"/>
      <c r="C1204" s="17"/>
      <c r="D1204" s="16"/>
    </row>
    <row r="1205" spans="1:4" ht="13.5" thickBot="1">
      <c r="A1205" s="178" t="s">
        <v>431</v>
      </c>
      <c r="B1205" s="17"/>
      <c r="C1205" s="17"/>
      <c r="D1205" s="16"/>
    </row>
    <row r="1206" spans="1:4" ht="12.75">
      <c r="A1206" s="57" t="s">
        <v>278</v>
      </c>
      <c r="B1206" s="58" t="s">
        <v>276</v>
      </c>
      <c r="C1206" s="59">
        <f>C1212*(C1210)</f>
        <v>165.429</v>
      </c>
      <c r="D1206" s="16"/>
    </row>
    <row r="1207" spans="1:4" ht="12.75">
      <c r="A1207" s="60" t="s">
        <v>279</v>
      </c>
      <c r="B1207" s="50" t="s">
        <v>277</v>
      </c>
      <c r="C1207" s="64">
        <f>C1213*(C1211)</f>
        <v>114.048</v>
      </c>
      <c r="D1207" s="16"/>
    </row>
    <row r="1208" spans="1:4" ht="12.75">
      <c r="A1208" s="60" t="s">
        <v>113</v>
      </c>
      <c r="B1208" s="179" t="s">
        <v>284</v>
      </c>
      <c r="C1208" s="180">
        <v>0.43067</v>
      </c>
      <c r="D1208" s="16"/>
    </row>
    <row r="1209" spans="1:4" ht="12.75">
      <c r="A1209" s="60" t="s">
        <v>98</v>
      </c>
      <c r="B1209" s="51" t="s">
        <v>2</v>
      </c>
      <c r="C1209" s="61">
        <v>297</v>
      </c>
      <c r="D1209" s="16"/>
    </row>
    <row r="1210" spans="1:4" ht="14.25">
      <c r="A1210" s="60" t="s">
        <v>114</v>
      </c>
      <c r="B1210" s="51" t="s">
        <v>424</v>
      </c>
      <c r="C1210" s="61">
        <v>297</v>
      </c>
      <c r="D1210" s="16"/>
    </row>
    <row r="1211" spans="1:4" ht="14.25">
      <c r="A1211" s="60" t="s">
        <v>116</v>
      </c>
      <c r="B1211" s="51" t="s">
        <v>425</v>
      </c>
      <c r="C1211" s="61">
        <v>297</v>
      </c>
      <c r="D1211" s="16"/>
    </row>
    <row r="1212" spans="1:4" ht="15.75">
      <c r="A1212" s="60" t="s">
        <v>118</v>
      </c>
      <c r="B1212" s="51" t="s">
        <v>426</v>
      </c>
      <c r="C1212" s="61">
        <v>0.557</v>
      </c>
      <c r="D1212" s="16"/>
    </row>
    <row r="1213" spans="1:4" ht="15.75">
      <c r="A1213" s="60" t="s">
        <v>119</v>
      </c>
      <c r="B1213" s="51" t="s">
        <v>427</v>
      </c>
      <c r="C1213" s="61">
        <v>0.384</v>
      </c>
      <c r="D1213" s="16"/>
    </row>
    <row r="1214" spans="1:4" ht="12.75">
      <c r="A1214" s="181" t="s">
        <v>378</v>
      </c>
      <c r="B1214" s="182"/>
      <c r="C1214" s="63">
        <f>C1212^0.5</f>
        <v>0.7463243262818117</v>
      </c>
      <c r="D1214" s="16"/>
    </row>
    <row r="1215" spans="1:4" ht="12.75">
      <c r="A1215" s="181" t="s">
        <v>379</v>
      </c>
      <c r="B1215" s="182"/>
      <c r="C1215" s="63">
        <f>C1213^0.5</f>
        <v>0.6196773353931867</v>
      </c>
      <c r="D1215" s="16"/>
    </row>
    <row r="1216" spans="1:4" ht="12.75">
      <c r="A1216" s="60" t="s">
        <v>120</v>
      </c>
      <c r="B1216" s="179" t="s">
        <v>282</v>
      </c>
      <c r="C1216" s="180">
        <v>0.038</v>
      </c>
      <c r="D1216" s="101"/>
    </row>
    <row r="1217" spans="1:4" ht="14.25">
      <c r="A1217" s="60" t="s">
        <v>121</v>
      </c>
      <c r="B1217" s="50" t="s">
        <v>428</v>
      </c>
      <c r="C1217" s="64">
        <f>((C1209-C1210)/(C1209-1))^0.5</f>
        <v>0</v>
      </c>
      <c r="D1217" s="16"/>
    </row>
    <row r="1218" spans="1:4" ht="12.75">
      <c r="A1218" s="60" t="s">
        <v>122</v>
      </c>
      <c r="B1218" s="50" t="s">
        <v>123</v>
      </c>
      <c r="C1218" s="64">
        <f>((C1209-C1211)/(C1209-1))^0.5</f>
        <v>0</v>
      </c>
      <c r="D1218" s="16"/>
    </row>
    <row r="1219" spans="1:4" ht="12.75">
      <c r="A1219" s="60" t="s">
        <v>59</v>
      </c>
      <c r="B1219" s="50" t="s">
        <v>60</v>
      </c>
      <c r="C1219" s="64">
        <f>1-C1220</f>
        <v>0.95</v>
      </c>
      <c r="D1219" s="16"/>
    </row>
    <row r="1220" spans="1:4" ht="12.75">
      <c r="A1220" s="60" t="s">
        <v>61</v>
      </c>
      <c r="B1220" s="51" t="s">
        <v>61</v>
      </c>
      <c r="C1220" s="61">
        <v>0.05</v>
      </c>
      <c r="D1220" s="16"/>
    </row>
    <row r="1221" spans="1:4" ht="12.75">
      <c r="A1221" s="60" t="s">
        <v>62</v>
      </c>
      <c r="B1221" s="50" t="s">
        <v>83</v>
      </c>
      <c r="C1221" s="64">
        <f>1-(C1220/2)</f>
        <v>0.975</v>
      </c>
      <c r="D1221" s="16"/>
    </row>
    <row r="1222" spans="1:4" ht="12.75">
      <c r="A1222" s="60" t="s">
        <v>111</v>
      </c>
      <c r="B1222" s="50" t="s">
        <v>71</v>
      </c>
      <c r="C1222" s="64">
        <f>TINV(C1220,C1223)</f>
        <v>1.9680106640474033</v>
      </c>
      <c r="D1222" s="16"/>
    </row>
    <row r="1223" spans="1:4" ht="12.75">
      <c r="A1223" s="60" t="s">
        <v>112</v>
      </c>
      <c r="B1223" s="50" t="s">
        <v>73</v>
      </c>
      <c r="C1223" s="64">
        <f>C1210-1</f>
        <v>296</v>
      </c>
      <c r="D1223" s="16"/>
    </row>
    <row r="1224" spans="1:4" ht="14.25">
      <c r="A1224" s="60" t="s">
        <v>82</v>
      </c>
      <c r="B1224" s="51" t="s">
        <v>429</v>
      </c>
      <c r="C1224" s="61">
        <v>4.364</v>
      </c>
      <c r="D1224" s="16"/>
    </row>
    <row r="1225" spans="1:4" ht="14.25">
      <c r="A1225" s="60" t="s">
        <v>124</v>
      </c>
      <c r="B1225" s="51" t="s">
        <v>430</v>
      </c>
      <c r="C1225" s="61">
        <v>4.276</v>
      </c>
      <c r="D1225" s="16"/>
    </row>
    <row r="1226" spans="1:4" ht="12.75">
      <c r="A1226" s="60" t="s">
        <v>125</v>
      </c>
      <c r="B1226" s="50" t="s">
        <v>108</v>
      </c>
      <c r="C1226" s="64">
        <f>(C1224-C1225)-((C1222*C1216))</f>
        <v>0.013215594766198754</v>
      </c>
      <c r="D1226" s="16"/>
    </row>
    <row r="1227" spans="1:4" ht="13.5" thickBot="1">
      <c r="A1227" s="65" t="s">
        <v>126</v>
      </c>
      <c r="B1227" s="66" t="s">
        <v>110</v>
      </c>
      <c r="C1227" s="67">
        <f>(C1224-C1225)+((C1222*C1216))</f>
        <v>0.1627844052338014</v>
      </c>
      <c r="D1227" s="16"/>
    </row>
  </sheetData>
  <printOptions/>
  <pageMargins left="0.75" right="0.75" top="1" bottom="1" header="0" footer="0"/>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indexed="34"/>
  </sheetPr>
  <dimension ref="A1:P340"/>
  <sheetViews>
    <sheetView workbookViewId="0" topLeftCell="A124">
      <selection activeCell="C261" sqref="C261"/>
    </sheetView>
  </sheetViews>
  <sheetFormatPr defaultColWidth="11.421875" defaultRowHeight="12.75"/>
  <cols>
    <col min="1" max="1" width="32.57421875" style="0" customWidth="1"/>
  </cols>
  <sheetData>
    <row r="1" s="7" customFormat="1" ht="31.5" customHeight="1">
      <c r="A1" s="205" t="s">
        <v>443</v>
      </c>
    </row>
    <row r="2" spans="5:10" ht="13.5" thickBot="1">
      <c r="E2" s="185"/>
      <c r="F2" s="185"/>
      <c r="G2" s="185"/>
      <c r="H2" s="185"/>
      <c r="I2" s="185"/>
      <c r="J2" s="185"/>
    </row>
    <row r="3" spans="4:11" ht="12.75">
      <c r="D3" s="183"/>
      <c r="E3" s="196" t="s">
        <v>439</v>
      </c>
      <c r="F3" s="197"/>
      <c r="G3" s="197"/>
      <c r="H3" s="197"/>
      <c r="I3" s="197"/>
      <c r="J3" s="198"/>
      <c r="K3" s="184"/>
    </row>
    <row r="4" spans="4:11" ht="13.5" thickBot="1">
      <c r="D4" s="183"/>
      <c r="E4" s="199" t="s">
        <v>1</v>
      </c>
      <c r="F4" s="200" t="s">
        <v>1</v>
      </c>
      <c r="G4" s="200" t="s">
        <v>3</v>
      </c>
      <c r="H4" s="200" t="s">
        <v>2</v>
      </c>
      <c r="I4" s="200" t="s">
        <v>171</v>
      </c>
      <c r="J4" s="201" t="s">
        <v>172</v>
      </c>
      <c r="K4" s="184" t="s">
        <v>469</v>
      </c>
    </row>
    <row r="5" spans="1:11" ht="13.5" thickBot="1">
      <c r="A5" s="168" t="s">
        <v>344</v>
      </c>
      <c r="B5" s="20"/>
      <c r="C5" s="20"/>
      <c r="D5" s="183"/>
      <c r="E5" s="199" t="s">
        <v>361</v>
      </c>
      <c r="F5" s="200" t="s">
        <v>440</v>
      </c>
      <c r="G5" s="200">
        <v>3.3</v>
      </c>
      <c r="H5" s="200">
        <v>200</v>
      </c>
      <c r="I5" s="200">
        <v>0.9404371911790622</v>
      </c>
      <c r="J5" s="201">
        <v>0.06649895151627445</v>
      </c>
      <c r="K5" s="184">
        <f>I5^2</f>
        <v>0.884422110552764</v>
      </c>
    </row>
    <row r="6" spans="1:11" ht="13.5" thickBot="1">
      <c r="A6" s="36" t="s">
        <v>316</v>
      </c>
      <c r="B6" s="149" t="s">
        <v>318</v>
      </c>
      <c r="C6" s="150">
        <v>0.044</v>
      </c>
      <c r="D6" s="183"/>
      <c r="E6" s="202"/>
      <c r="F6" s="203" t="s">
        <v>441</v>
      </c>
      <c r="G6" s="203">
        <v>3.3211111111111107</v>
      </c>
      <c r="H6" s="203">
        <v>200</v>
      </c>
      <c r="I6" s="203">
        <v>0.663060458619612</v>
      </c>
      <c r="J6" s="204">
        <v>0.04688545466265898</v>
      </c>
      <c r="K6" s="184">
        <f>I6^2</f>
        <v>0.43964917178485025</v>
      </c>
    </row>
    <row r="7" spans="1:10" ht="13.5" thickBot="1">
      <c r="A7" s="38" t="s">
        <v>317</v>
      </c>
      <c r="B7" s="151" t="s">
        <v>319</v>
      </c>
      <c r="C7" s="145">
        <v>31.456</v>
      </c>
      <c r="E7" s="186"/>
      <c r="F7" s="186"/>
      <c r="G7" s="186"/>
      <c r="H7" s="186"/>
      <c r="I7" s="186"/>
      <c r="J7" s="162"/>
    </row>
    <row r="8" spans="1:10" ht="12.75">
      <c r="A8" s="38" t="s">
        <v>151</v>
      </c>
      <c r="B8" s="25" t="s">
        <v>320</v>
      </c>
      <c r="C8" s="39">
        <f>SUM(C6:C7)</f>
        <v>31.5</v>
      </c>
      <c r="D8" s="183"/>
      <c r="E8" s="196" t="s">
        <v>359</v>
      </c>
      <c r="F8" s="197"/>
      <c r="G8" s="197"/>
      <c r="H8" s="197"/>
      <c r="I8" s="198"/>
      <c r="J8" s="184"/>
    </row>
    <row r="9" spans="1:10" ht="15.75">
      <c r="A9" s="38" t="s">
        <v>191</v>
      </c>
      <c r="B9" s="25" t="s">
        <v>300</v>
      </c>
      <c r="C9" s="215">
        <f>C6/C7</f>
        <v>0.0013987792472024414</v>
      </c>
      <c r="D9" s="183"/>
      <c r="E9" s="199" t="s">
        <v>1</v>
      </c>
      <c r="F9" s="200" t="s">
        <v>1</v>
      </c>
      <c r="G9" s="200" t="s">
        <v>2</v>
      </c>
      <c r="H9" s="200" t="s">
        <v>360</v>
      </c>
      <c r="I9" s="201" t="s">
        <v>174</v>
      </c>
      <c r="J9" s="184"/>
    </row>
    <row r="10" spans="1:10" ht="13.5" thickBot="1">
      <c r="A10" s="169" t="s">
        <v>374</v>
      </c>
      <c r="B10" s="151"/>
      <c r="C10" s="145">
        <v>3.3</v>
      </c>
      <c r="D10" s="183"/>
      <c r="E10" s="202" t="s">
        <v>361</v>
      </c>
      <c r="F10" s="203" t="s">
        <v>442</v>
      </c>
      <c r="G10" s="203">
        <v>200</v>
      </c>
      <c r="H10" s="203">
        <v>0.80819622571109</v>
      </c>
      <c r="I10" s="204">
        <v>2.0633115260120403E-47</v>
      </c>
      <c r="J10" s="184">
        <f>H10^2</f>
        <v>0.6531811392536511</v>
      </c>
    </row>
    <row r="11" spans="1:9" ht="12.75">
      <c r="A11" s="159" t="s">
        <v>375</v>
      </c>
      <c r="B11" s="151"/>
      <c r="C11" s="145">
        <v>3.321</v>
      </c>
      <c r="E11" s="162"/>
      <c r="F11" s="162"/>
      <c r="G11" s="162"/>
      <c r="H11" s="162"/>
      <c r="I11" s="162"/>
    </row>
    <row r="12" spans="1:14" ht="13.5" thickBot="1">
      <c r="A12" s="159" t="s">
        <v>376</v>
      </c>
      <c r="B12" s="151"/>
      <c r="C12" s="145">
        <v>200</v>
      </c>
      <c r="E12" s="185"/>
      <c r="F12" s="185"/>
      <c r="G12" s="185"/>
      <c r="H12" s="185"/>
      <c r="I12" s="185"/>
      <c r="J12" s="185"/>
      <c r="K12" s="185"/>
      <c r="L12" s="185"/>
      <c r="M12" s="185"/>
      <c r="N12" s="185"/>
    </row>
    <row r="13" spans="1:15" ht="12.75">
      <c r="A13" s="169" t="s">
        <v>376</v>
      </c>
      <c r="B13" s="151"/>
      <c r="C13" s="145">
        <v>200</v>
      </c>
      <c r="D13" s="183"/>
      <c r="E13" s="196" t="s">
        <v>363</v>
      </c>
      <c r="F13" s="197"/>
      <c r="G13" s="197"/>
      <c r="H13" s="197"/>
      <c r="I13" s="197"/>
      <c r="J13" s="197"/>
      <c r="K13" s="197"/>
      <c r="L13" s="197"/>
      <c r="M13" s="197"/>
      <c r="N13" s="198"/>
      <c r="O13" s="184"/>
    </row>
    <row r="14" spans="1:15" ht="12.75">
      <c r="A14" s="169" t="s">
        <v>377</v>
      </c>
      <c r="B14" s="151"/>
      <c r="C14" s="145">
        <v>0.884</v>
      </c>
      <c r="D14" s="183"/>
      <c r="E14" s="199" t="s">
        <v>1</v>
      </c>
      <c r="F14" s="200" t="s">
        <v>1</v>
      </c>
      <c r="G14" s="200" t="s">
        <v>364</v>
      </c>
      <c r="H14" s="200"/>
      <c r="I14" s="200"/>
      <c r="J14" s="200"/>
      <c r="K14" s="200"/>
      <c r="L14" s="200" t="s">
        <v>71</v>
      </c>
      <c r="M14" s="200" t="s">
        <v>175</v>
      </c>
      <c r="N14" s="201" t="s">
        <v>176</v>
      </c>
      <c r="O14" s="184"/>
    </row>
    <row r="15" spans="1:15" ht="12.75">
      <c r="A15" s="159" t="s">
        <v>382</v>
      </c>
      <c r="B15" s="151"/>
      <c r="C15" s="145">
        <v>0.439</v>
      </c>
      <c r="D15" s="183"/>
      <c r="E15" s="199"/>
      <c r="F15" s="200"/>
      <c r="G15" s="200" t="s">
        <v>3</v>
      </c>
      <c r="H15" s="200" t="s">
        <v>171</v>
      </c>
      <c r="I15" s="200" t="s">
        <v>172</v>
      </c>
      <c r="J15" s="200" t="s">
        <v>177</v>
      </c>
      <c r="K15" s="200"/>
      <c r="L15" s="200"/>
      <c r="M15" s="200"/>
      <c r="N15" s="201"/>
      <c r="O15" s="184"/>
    </row>
    <row r="16" spans="1:15" ht="12.75">
      <c r="A16" s="159" t="s">
        <v>378</v>
      </c>
      <c r="B16" s="19"/>
      <c r="C16" s="146">
        <f>C14^0.5</f>
        <v>0.9402127418834527</v>
      </c>
      <c r="D16" s="183"/>
      <c r="E16" s="199"/>
      <c r="F16" s="200"/>
      <c r="G16" s="200"/>
      <c r="H16" s="200"/>
      <c r="I16" s="200"/>
      <c r="J16" s="200" t="s">
        <v>178</v>
      </c>
      <c r="K16" s="200" t="s">
        <v>179</v>
      </c>
      <c r="L16" s="200"/>
      <c r="M16" s="200"/>
      <c r="N16" s="201"/>
      <c r="O16" s="184"/>
    </row>
    <row r="17" spans="1:15" ht="13.5" thickBot="1">
      <c r="A17" s="159" t="s">
        <v>379</v>
      </c>
      <c r="B17" s="19"/>
      <c r="C17" s="146">
        <f>C15^0.5</f>
        <v>0.6625707509390978</v>
      </c>
      <c r="D17" s="183"/>
      <c r="E17" s="202" t="s">
        <v>361</v>
      </c>
      <c r="F17" s="203" t="s">
        <v>444</v>
      </c>
      <c r="G17" s="203">
        <v>-0.02111111111111086</v>
      </c>
      <c r="H17" s="203">
        <v>0.5622657296963706</v>
      </c>
      <c r="I17" s="203">
        <v>0.0397581910297106</v>
      </c>
      <c r="J17" s="203">
        <v>-0.09951253609974278</v>
      </c>
      <c r="K17" s="203">
        <v>0.057290313877521065</v>
      </c>
      <c r="L17" s="203">
        <v>-0.5309877176085526</v>
      </c>
      <c r="M17" s="203">
        <v>199</v>
      </c>
      <c r="N17" s="204">
        <v>0.5960194090304061</v>
      </c>
      <c r="O17" s="184"/>
    </row>
    <row r="18" spans="1:14" ht="12.75">
      <c r="A18" s="169" t="s">
        <v>380</v>
      </c>
      <c r="B18" s="20"/>
      <c r="C18" s="146">
        <f>C16/C12^0.5</f>
        <v>0.06648308055437864</v>
      </c>
      <c r="E18" s="162"/>
      <c r="F18" s="162"/>
      <c r="G18" s="162"/>
      <c r="H18" s="162"/>
      <c r="I18" s="162"/>
      <c r="J18" s="162"/>
      <c r="K18" s="162"/>
      <c r="L18" s="162"/>
      <c r="M18" s="162"/>
      <c r="N18" s="162"/>
    </row>
    <row r="19" spans="1:12" ht="13.5" thickBot="1">
      <c r="A19" s="159" t="s">
        <v>381</v>
      </c>
      <c r="B19" s="20"/>
      <c r="C19" s="146">
        <f>C17/C13^0.5</f>
        <v>0.046850827100489906</v>
      </c>
      <c r="E19" s="185"/>
      <c r="F19" s="185"/>
      <c r="G19" s="185"/>
      <c r="H19" s="185"/>
      <c r="I19" s="185"/>
      <c r="J19" s="185"/>
      <c r="K19" s="185"/>
      <c r="L19" s="185"/>
    </row>
    <row r="20" spans="1:13" ht="12.75">
      <c r="A20" s="169" t="s">
        <v>373</v>
      </c>
      <c r="B20" s="20"/>
      <c r="C20" s="146">
        <f>C14+C15</f>
        <v>1.323</v>
      </c>
      <c r="D20" s="183"/>
      <c r="E20" s="187" t="s">
        <v>347</v>
      </c>
      <c r="F20" s="188"/>
      <c r="G20" s="188"/>
      <c r="H20" s="188"/>
      <c r="I20" s="188"/>
      <c r="J20" s="188"/>
      <c r="K20" s="188"/>
      <c r="L20" s="189"/>
      <c r="M20" s="184"/>
    </row>
    <row r="21" spans="1:13" ht="12.75">
      <c r="A21" s="169" t="s">
        <v>372</v>
      </c>
      <c r="B21" s="20"/>
      <c r="C21" s="146">
        <f>(C12-1)*C20</f>
        <v>263.277</v>
      </c>
      <c r="D21" s="183"/>
      <c r="E21" s="190" t="s">
        <v>345</v>
      </c>
      <c r="F21" s="191"/>
      <c r="G21" s="191"/>
      <c r="H21" s="191"/>
      <c r="I21" s="191"/>
      <c r="J21" s="191"/>
      <c r="K21" s="191"/>
      <c r="L21" s="192"/>
      <c r="M21" s="184"/>
    </row>
    <row r="22" spans="1:13" ht="15.75">
      <c r="A22" s="38" t="s">
        <v>383</v>
      </c>
      <c r="B22" s="25" t="s">
        <v>392</v>
      </c>
      <c r="C22" s="208">
        <f>C6/(C6+C21)</f>
        <v>0.00016709643363043585</v>
      </c>
      <c r="D22" s="183"/>
      <c r="E22" s="190" t="s">
        <v>348</v>
      </c>
      <c r="F22" s="191" t="s">
        <v>349</v>
      </c>
      <c r="G22" s="191" t="s">
        <v>350</v>
      </c>
      <c r="H22" s="191" t="s">
        <v>175</v>
      </c>
      <c r="I22" s="191" t="s">
        <v>183</v>
      </c>
      <c r="J22" s="191" t="s">
        <v>351</v>
      </c>
      <c r="K22" s="191"/>
      <c r="L22" s="192"/>
      <c r="M22" s="184"/>
    </row>
    <row r="23" spans="1:13" ht="15.75">
      <c r="A23" s="170" t="s">
        <v>391</v>
      </c>
      <c r="B23" s="165" t="s">
        <v>393</v>
      </c>
      <c r="C23" s="171">
        <f>((C6-((C26*C20/(C13-1))))/((C6+(C12-C26)*(C20/(C12-1)))))</f>
        <v>0.027323890851477576</v>
      </c>
      <c r="D23" s="183"/>
      <c r="E23" s="190"/>
      <c r="F23" s="191"/>
      <c r="G23" s="191"/>
      <c r="H23" s="191"/>
      <c r="I23" s="191"/>
      <c r="J23" s="191" t="s">
        <v>352</v>
      </c>
      <c r="K23" s="191" t="s">
        <v>353</v>
      </c>
      <c r="L23" s="192" t="s">
        <v>354</v>
      </c>
      <c r="M23" s="184"/>
    </row>
    <row r="24" spans="1:13" ht="12.75">
      <c r="A24" s="38" t="s">
        <v>396</v>
      </c>
      <c r="B24" s="25"/>
      <c r="C24" s="39">
        <f>C7/(C12-1)</f>
        <v>0.15807035175879397</v>
      </c>
      <c r="D24" s="183"/>
      <c r="E24" s="190" t="s">
        <v>445</v>
      </c>
      <c r="F24" s="191">
        <v>1</v>
      </c>
      <c r="G24" s="191">
        <v>0</v>
      </c>
      <c r="H24" s="191">
        <v>0</v>
      </c>
      <c r="I24" s="191" t="s">
        <v>355</v>
      </c>
      <c r="J24" s="191">
        <v>1</v>
      </c>
      <c r="K24" s="191">
        <v>1</v>
      </c>
      <c r="L24" s="192">
        <v>1</v>
      </c>
      <c r="M24" s="184"/>
    </row>
    <row r="25" spans="1:13" ht="12.75">
      <c r="A25" s="38" t="s">
        <v>394</v>
      </c>
      <c r="B25" s="25"/>
      <c r="C25" s="128">
        <f>C21/(C12-1)</f>
        <v>1.323</v>
      </c>
      <c r="D25" s="183"/>
      <c r="E25" s="190" t="s">
        <v>356</v>
      </c>
      <c r="F25" s="191"/>
      <c r="G25" s="191"/>
      <c r="H25" s="191"/>
      <c r="I25" s="191"/>
      <c r="J25" s="191"/>
      <c r="K25" s="191"/>
      <c r="L25" s="192"/>
      <c r="M25" s="184"/>
    </row>
    <row r="26" spans="1:13" ht="12.75">
      <c r="A26" s="38" t="s">
        <v>395</v>
      </c>
      <c r="B26" s="151"/>
      <c r="C26" s="145">
        <v>1</v>
      </c>
      <c r="D26" s="183"/>
      <c r="E26" s="190" t="s">
        <v>185</v>
      </c>
      <c r="F26" s="191" t="s">
        <v>357</v>
      </c>
      <c r="G26" s="191"/>
      <c r="H26" s="191"/>
      <c r="I26" s="191"/>
      <c r="J26" s="191"/>
      <c r="K26" s="191"/>
      <c r="L26" s="192"/>
      <c r="M26" s="184"/>
    </row>
    <row r="27" spans="1:13" ht="13.5" thickBot="1">
      <c r="A27" s="105" t="s">
        <v>323</v>
      </c>
      <c r="B27" s="157"/>
      <c r="C27" s="158">
        <f>((C6-(C26*C24))/((C6+(C12-C26)*C24)))</f>
        <v>-0.0036212810082156817</v>
      </c>
      <c r="D27" s="183"/>
      <c r="E27" s="193" t="s">
        <v>201</v>
      </c>
      <c r="F27" s="194" t="s">
        <v>446</v>
      </c>
      <c r="G27" s="194"/>
      <c r="H27" s="194"/>
      <c r="I27" s="194"/>
      <c r="J27" s="194"/>
      <c r="K27" s="194"/>
      <c r="L27" s="195"/>
      <c r="M27" s="184"/>
    </row>
    <row r="28" spans="1:13" ht="12.75">
      <c r="A28" s="109"/>
      <c r="B28" s="102"/>
      <c r="C28" s="102"/>
      <c r="D28" s="183"/>
      <c r="E28" s="209"/>
      <c r="F28" s="210"/>
      <c r="G28" s="210"/>
      <c r="H28" s="210"/>
      <c r="I28" s="210"/>
      <c r="J28" s="210"/>
      <c r="K28" s="210"/>
      <c r="L28" s="211"/>
      <c r="M28" s="216"/>
    </row>
    <row r="29" spans="1:13" ht="12.75">
      <c r="A29" s="109" t="s">
        <v>476</v>
      </c>
      <c r="B29" s="102"/>
      <c r="C29" s="102"/>
      <c r="D29" s="183"/>
      <c r="E29" s="209"/>
      <c r="F29" s="210"/>
      <c r="G29" s="210"/>
      <c r="H29" s="210"/>
      <c r="I29" s="210"/>
      <c r="J29" s="210"/>
      <c r="K29" s="210"/>
      <c r="L29" s="211"/>
      <c r="M29" s="216"/>
    </row>
    <row r="30" spans="1:13" ht="12.75">
      <c r="A30" s="109" t="s">
        <v>477</v>
      </c>
      <c r="B30" s="102"/>
      <c r="C30" s="102">
        <f>C12*C22</f>
        <v>0.03341928672608717</v>
      </c>
      <c r="D30" s="183"/>
      <c r="E30" s="209"/>
      <c r="F30" s="210"/>
      <c r="G30" s="210"/>
      <c r="H30" s="210"/>
      <c r="I30" s="210"/>
      <c r="J30" s="210"/>
      <c r="K30" s="210"/>
      <c r="L30" s="211"/>
      <c r="M30" s="216"/>
    </row>
    <row r="31" spans="1:13" ht="12.75">
      <c r="A31" s="109" t="s">
        <v>478</v>
      </c>
      <c r="B31" s="102"/>
      <c r="C31" s="102">
        <v>5.269</v>
      </c>
      <c r="D31" s="183"/>
      <c r="E31" s="209"/>
      <c r="F31" s="210"/>
      <c r="G31" s="210"/>
      <c r="H31" s="210"/>
      <c r="I31" s="210"/>
      <c r="J31" s="210"/>
      <c r="K31" s="210"/>
      <c r="L31" s="211"/>
      <c r="M31" s="216"/>
    </row>
    <row r="32" spans="1:13" ht="12.75">
      <c r="A32" s="109" t="s">
        <v>479</v>
      </c>
      <c r="B32" s="102"/>
      <c r="C32" s="102">
        <v>0.00108</v>
      </c>
      <c r="D32" s="183"/>
      <c r="E32" s="209"/>
      <c r="F32" s="210"/>
      <c r="G32" s="210"/>
      <c r="H32" s="210"/>
      <c r="I32" s="210"/>
      <c r="J32" s="210"/>
      <c r="K32" s="210"/>
      <c r="L32" s="211"/>
      <c r="M32" s="216"/>
    </row>
    <row r="33" spans="1:13" ht="12.75">
      <c r="A33" s="109"/>
      <c r="B33" s="102"/>
      <c r="C33" s="102"/>
      <c r="D33" s="183"/>
      <c r="E33" s="209"/>
      <c r="F33" s="210"/>
      <c r="G33" s="210"/>
      <c r="H33" s="210"/>
      <c r="I33" s="210"/>
      <c r="J33" s="210"/>
      <c r="K33" s="210"/>
      <c r="L33" s="211"/>
      <c r="M33" s="216"/>
    </row>
    <row r="34" spans="1:14" ht="13.5" thickBot="1">
      <c r="A34" s="16"/>
      <c r="B34" s="17"/>
      <c r="C34" s="17"/>
      <c r="E34" s="186"/>
      <c r="F34" s="186"/>
      <c r="G34" s="186"/>
      <c r="H34" s="186"/>
      <c r="I34" s="186"/>
      <c r="J34" s="186"/>
      <c r="K34" s="186"/>
      <c r="L34" s="186"/>
      <c r="M34" s="185"/>
      <c r="N34" s="185"/>
    </row>
    <row r="35" spans="1:15" ht="13.5" thickBot="1">
      <c r="A35" s="178" t="s">
        <v>431</v>
      </c>
      <c r="B35" s="17"/>
      <c r="C35" s="17"/>
      <c r="D35" s="183"/>
      <c r="E35" s="187" t="s">
        <v>366</v>
      </c>
      <c r="F35" s="188"/>
      <c r="G35" s="188"/>
      <c r="H35" s="188"/>
      <c r="I35" s="188"/>
      <c r="J35" s="188"/>
      <c r="K35" s="188"/>
      <c r="L35" s="188"/>
      <c r="M35" s="188"/>
      <c r="N35" s="189"/>
      <c r="O35" s="184"/>
    </row>
    <row r="36" spans="1:15" ht="12.75">
      <c r="A36" s="57" t="s">
        <v>278</v>
      </c>
      <c r="B36" s="58" t="s">
        <v>276</v>
      </c>
      <c r="C36" s="59">
        <f>C42*(C40)</f>
        <v>176.8</v>
      </c>
      <c r="D36" s="183"/>
      <c r="E36" s="190" t="s">
        <v>345</v>
      </c>
      <c r="F36" s="191"/>
      <c r="G36" s="191"/>
      <c r="H36" s="191"/>
      <c r="I36" s="191"/>
      <c r="J36" s="191"/>
      <c r="K36" s="191"/>
      <c r="L36" s="191"/>
      <c r="M36" s="191"/>
      <c r="N36" s="192"/>
      <c r="O36" s="184"/>
    </row>
    <row r="37" spans="1:15" ht="12.75">
      <c r="A37" s="60" t="s">
        <v>279</v>
      </c>
      <c r="B37" s="50" t="s">
        <v>277</v>
      </c>
      <c r="C37" s="64">
        <f>C43*(C41)</f>
        <v>87.92</v>
      </c>
      <c r="D37" s="183"/>
      <c r="E37" s="190" t="s">
        <v>188</v>
      </c>
      <c r="F37" s="191" t="s">
        <v>1</v>
      </c>
      <c r="G37" s="191" t="s">
        <v>189</v>
      </c>
      <c r="H37" s="191" t="s">
        <v>175</v>
      </c>
      <c r="I37" s="191" t="s">
        <v>190</v>
      </c>
      <c r="J37" s="191" t="s">
        <v>173</v>
      </c>
      <c r="K37" s="191" t="s">
        <v>183</v>
      </c>
      <c r="L37" s="191" t="s">
        <v>191</v>
      </c>
      <c r="M37" s="191" t="s">
        <v>192</v>
      </c>
      <c r="N37" s="192" t="s">
        <v>193</v>
      </c>
      <c r="O37" s="184"/>
    </row>
    <row r="38" spans="1:15" ht="12.75">
      <c r="A38" s="60" t="s">
        <v>113</v>
      </c>
      <c r="B38" s="179" t="s">
        <v>284</v>
      </c>
      <c r="C38" s="180">
        <v>0.3211</v>
      </c>
      <c r="D38" s="183"/>
      <c r="E38" s="190" t="s">
        <v>445</v>
      </c>
      <c r="F38" s="191" t="s">
        <v>367</v>
      </c>
      <c r="G38" s="191">
        <v>0.044567901234594774</v>
      </c>
      <c r="H38" s="191">
        <v>1</v>
      </c>
      <c r="I38" s="191">
        <v>0.044567901234594774</v>
      </c>
      <c r="J38" s="191">
        <v>0.28194795625131625</v>
      </c>
      <c r="K38" s="191">
        <v>0.5960194090302915</v>
      </c>
      <c r="L38" s="191">
        <v>0.0014148193508887856</v>
      </c>
      <c r="M38" s="191">
        <v>0.28194795625131625</v>
      </c>
      <c r="N38" s="192">
        <v>0.08255462180730233</v>
      </c>
      <c r="O38" s="184"/>
    </row>
    <row r="39" spans="1:15" ht="12.75">
      <c r="A39" s="60" t="s">
        <v>98</v>
      </c>
      <c r="B39" s="51" t="s">
        <v>2</v>
      </c>
      <c r="C39" s="61">
        <v>27000</v>
      </c>
      <c r="D39" s="183"/>
      <c r="E39" s="190"/>
      <c r="F39" s="191" t="s">
        <v>352</v>
      </c>
      <c r="G39" s="191">
        <v>0.044567901234594774</v>
      </c>
      <c r="H39" s="191">
        <v>1</v>
      </c>
      <c r="I39" s="191">
        <v>0.044567901234594774</v>
      </c>
      <c r="J39" s="191">
        <v>0.28194795625131625</v>
      </c>
      <c r="K39" s="191">
        <v>0.5960194090302915</v>
      </c>
      <c r="L39" s="191">
        <v>0.0014148193508887856</v>
      </c>
      <c r="M39" s="191">
        <v>0.28194795625131625</v>
      </c>
      <c r="N39" s="192">
        <v>0.08255462180730233</v>
      </c>
      <c r="O39" s="184"/>
    </row>
    <row r="40" spans="1:15" ht="14.25">
      <c r="A40" s="60" t="s">
        <v>114</v>
      </c>
      <c r="B40" s="51" t="s">
        <v>424</v>
      </c>
      <c r="C40" s="61">
        <v>200</v>
      </c>
      <c r="D40" s="183"/>
      <c r="E40" s="190"/>
      <c r="F40" s="191" t="s">
        <v>353</v>
      </c>
      <c r="G40" s="191">
        <v>0.044567901234594774</v>
      </c>
      <c r="H40" s="191">
        <v>1</v>
      </c>
      <c r="I40" s="191">
        <v>0.044567901234594774</v>
      </c>
      <c r="J40" s="191">
        <v>0.28194795625131625</v>
      </c>
      <c r="K40" s="191">
        <v>0.5960194090302915</v>
      </c>
      <c r="L40" s="191">
        <v>0.0014148193508887856</v>
      </c>
      <c r="M40" s="191">
        <v>0.28194795625131625</v>
      </c>
      <c r="N40" s="192">
        <v>0.08255462180730233</v>
      </c>
      <c r="O40" s="184"/>
    </row>
    <row r="41" spans="1:15" ht="14.25">
      <c r="A41" s="60" t="s">
        <v>116</v>
      </c>
      <c r="B41" s="51" t="s">
        <v>425</v>
      </c>
      <c r="C41" s="61">
        <v>200</v>
      </c>
      <c r="D41" s="183"/>
      <c r="E41" s="190"/>
      <c r="F41" s="191" t="s">
        <v>354</v>
      </c>
      <c r="G41" s="191">
        <v>0.044567901234594774</v>
      </c>
      <c r="H41" s="191">
        <v>1</v>
      </c>
      <c r="I41" s="191">
        <v>0.044567901234594774</v>
      </c>
      <c r="J41" s="191">
        <v>0.28194795625131625</v>
      </c>
      <c r="K41" s="191">
        <v>0.5960194090302915</v>
      </c>
      <c r="L41" s="191">
        <v>0.0014148193508887856</v>
      </c>
      <c r="M41" s="191">
        <v>0.28194795625131625</v>
      </c>
      <c r="N41" s="192">
        <v>0.08255462180730233</v>
      </c>
      <c r="O41" s="184"/>
    </row>
    <row r="42" spans="1:15" ht="15.75">
      <c r="A42" s="60" t="s">
        <v>118</v>
      </c>
      <c r="B42" s="51" t="s">
        <v>426</v>
      </c>
      <c r="C42" s="61">
        <v>0.884</v>
      </c>
      <c r="D42" s="183"/>
      <c r="E42" s="190" t="s">
        <v>447</v>
      </c>
      <c r="F42" s="191" t="s">
        <v>367</v>
      </c>
      <c r="G42" s="191">
        <v>31.45620370370376</v>
      </c>
      <c r="H42" s="191">
        <v>199</v>
      </c>
      <c r="I42" s="191">
        <v>0.1580713753954963</v>
      </c>
      <c r="J42" s="191"/>
      <c r="K42" s="191"/>
      <c r="L42" s="191"/>
      <c r="M42" s="191"/>
      <c r="N42" s="192"/>
      <c r="O42" s="184"/>
    </row>
    <row r="43" spans="1:15" ht="15.75">
      <c r="A43" s="60" t="s">
        <v>119</v>
      </c>
      <c r="B43" s="51" t="s">
        <v>427</v>
      </c>
      <c r="C43" s="61">
        <v>0.4396</v>
      </c>
      <c r="D43" s="183"/>
      <c r="E43" s="190"/>
      <c r="F43" s="191" t="s">
        <v>352</v>
      </c>
      <c r="G43" s="191">
        <v>31.45620370370376</v>
      </c>
      <c r="H43" s="191">
        <v>199</v>
      </c>
      <c r="I43" s="191">
        <v>0.1580713753954963</v>
      </c>
      <c r="J43" s="191"/>
      <c r="K43" s="191"/>
      <c r="L43" s="191"/>
      <c r="M43" s="191"/>
      <c r="N43" s="192"/>
      <c r="O43" s="184"/>
    </row>
    <row r="44" spans="1:15" ht="12.75">
      <c r="A44" s="181" t="s">
        <v>378</v>
      </c>
      <c r="B44" s="182"/>
      <c r="C44" s="63">
        <f>C42^0.5</f>
        <v>0.9402127418834527</v>
      </c>
      <c r="D44" s="183"/>
      <c r="E44" s="190"/>
      <c r="F44" s="191" t="s">
        <v>353</v>
      </c>
      <c r="G44" s="191">
        <v>31.45620370370376</v>
      </c>
      <c r="H44" s="191">
        <v>199</v>
      </c>
      <c r="I44" s="191">
        <v>0.1580713753954963</v>
      </c>
      <c r="J44" s="191"/>
      <c r="K44" s="191"/>
      <c r="L44" s="191"/>
      <c r="M44" s="191"/>
      <c r="N44" s="192"/>
      <c r="O44" s="184"/>
    </row>
    <row r="45" spans="1:15" ht="12.75">
      <c r="A45" s="181" t="s">
        <v>379</v>
      </c>
      <c r="B45" s="182"/>
      <c r="C45" s="63">
        <f>C43^0.5</f>
        <v>0.663023378170031</v>
      </c>
      <c r="D45" s="183"/>
      <c r="E45" s="190"/>
      <c r="F45" s="191" t="s">
        <v>354</v>
      </c>
      <c r="G45" s="191">
        <v>31.45620370370376</v>
      </c>
      <c r="H45" s="191">
        <v>199</v>
      </c>
      <c r="I45" s="191">
        <v>0.1580713753954963</v>
      </c>
      <c r="J45" s="191"/>
      <c r="K45" s="191"/>
      <c r="L45" s="191"/>
      <c r="M45" s="191"/>
      <c r="N45" s="192"/>
      <c r="O45" s="184"/>
    </row>
    <row r="46" spans="1:15" ht="13.5" thickBot="1">
      <c r="A46" s="60" t="s">
        <v>120</v>
      </c>
      <c r="B46" s="179" t="s">
        <v>282</v>
      </c>
      <c r="C46" s="180">
        <v>0.04</v>
      </c>
      <c r="D46" s="183"/>
      <c r="E46" s="193" t="s">
        <v>185</v>
      </c>
      <c r="F46" s="194" t="s">
        <v>200</v>
      </c>
      <c r="G46" s="194"/>
      <c r="H46" s="194"/>
      <c r="I46" s="194"/>
      <c r="J46" s="194"/>
      <c r="K46" s="194"/>
      <c r="L46" s="194"/>
      <c r="M46" s="194"/>
      <c r="N46" s="195"/>
      <c r="O46" s="184"/>
    </row>
    <row r="47" spans="1:15" ht="12.75">
      <c r="A47" s="60" t="s">
        <v>474</v>
      </c>
      <c r="B47" s="213" t="s">
        <v>475</v>
      </c>
      <c r="C47" s="214">
        <v>0.0403</v>
      </c>
      <c r="D47" s="183"/>
      <c r="E47" s="209"/>
      <c r="F47" s="210"/>
      <c r="G47" s="210"/>
      <c r="H47" s="210"/>
      <c r="I47" s="210"/>
      <c r="J47" s="210"/>
      <c r="K47" s="210"/>
      <c r="L47" s="210"/>
      <c r="M47" s="210"/>
      <c r="N47" s="211"/>
      <c r="O47" s="184"/>
    </row>
    <row r="48" spans="1:14" ht="14.25">
      <c r="A48" s="60" t="s">
        <v>121</v>
      </c>
      <c r="B48" s="50" t="s">
        <v>428</v>
      </c>
      <c r="C48" s="64">
        <f>((C39-C40)/(C39-1))^0.5</f>
        <v>0.9963078623813216</v>
      </c>
      <c r="E48" s="162"/>
      <c r="F48" s="162"/>
      <c r="G48" s="162"/>
      <c r="H48" s="162"/>
      <c r="I48" s="162"/>
      <c r="J48" s="162"/>
      <c r="K48" s="162">
        <f>M38/H42</f>
        <v>0.0014168239007603832</v>
      </c>
      <c r="L48" s="162"/>
      <c r="M48" s="162"/>
      <c r="N48" s="162"/>
    </row>
    <row r="49" spans="1:14" ht="13.5" thickBot="1">
      <c r="A49" s="60" t="s">
        <v>122</v>
      </c>
      <c r="B49" s="50" t="s">
        <v>123</v>
      </c>
      <c r="C49" s="64">
        <f>((C39-C41)/(C39-1))^0.5</f>
        <v>0.9963078623813216</v>
      </c>
      <c r="E49" s="185"/>
      <c r="F49" s="185"/>
      <c r="G49" s="185"/>
      <c r="H49" s="185"/>
      <c r="I49" s="185"/>
      <c r="J49" s="185"/>
      <c r="K49" s="185"/>
      <c r="L49" s="185"/>
      <c r="M49" s="185"/>
      <c r="N49" s="185"/>
    </row>
    <row r="50" spans="1:15" ht="12.75">
      <c r="A50" s="60" t="s">
        <v>59</v>
      </c>
      <c r="B50" s="50" t="s">
        <v>60</v>
      </c>
      <c r="C50" s="64">
        <f>1-C51</f>
        <v>0.95</v>
      </c>
      <c r="D50" s="183"/>
      <c r="E50" s="187" t="s">
        <v>448</v>
      </c>
      <c r="F50" s="188"/>
      <c r="G50" s="188"/>
      <c r="H50" s="188"/>
      <c r="I50" s="188"/>
      <c r="J50" s="188"/>
      <c r="K50" s="188"/>
      <c r="L50" s="188"/>
      <c r="M50" s="188"/>
      <c r="N50" s="189"/>
      <c r="O50" s="184"/>
    </row>
    <row r="51" spans="1:15" ht="12.75">
      <c r="A51" s="60" t="s">
        <v>61</v>
      </c>
      <c r="B51" s="51" t="s">
        <v>61</v>
      </c>
      <c r="C51" s="61">
        <v>0.05</v>
      </c>
      <c r="D51" s="183"/>
      <c r="E51" s="190" t="s">
        <v>345</v>
      </c>
      <c r="F51" s="191"/>
      <c r="G51" s="191"/>
      <c r="H51" s="191"/>
      <c r="I51" s="191"/>
      <c r="J51" s="191"/>
      <c r="K51" s="191"/>
      <c r="L51" s="191"/>
      <c r="M51" s="191"/>
      <c r="N51" s="192"/>
      <c r="O51" s="184"/>
    </row>
    <row r="52" spans="1:15" ht="12.75">
      <c r="A52" s="60" t="s">
        <v>62</v>
      </c>
      <c r="B52" s="50" t="s">
        <v>83</v>
      </c>
      <c r="C52" s="64">
        <f>1-(C51/2)</f>
        <v>0.975</v>
      </c>
      <c r="D52" s="183"/>
      <c r="E52" s="190" t="s">
        <v>188</v>
      </c>
      <c r="F52" s="191" t="s">
        <v>445</v>
      </c>
      <c r="G52" s="191" t="s">
        <v>189</v>
      </c>
      <c r="H52" s="191" t="s">
        <v>175</v>
      </c>
      <c r="I52" s="191" t="s">
        <v>190</v>
      </c>
      <c r="J52" s="191" t="s">
        <v>173</v>
      </c>
      <c r="K52" s="191" t="s">
        <v>183</v>
      </c>
      <c r="L52" s="191" t="s">
        <v>191</v>
      </c>
      <c r="M52" s="191" t="s">
        <v>192</v>
      </c>
      <c r="N52" s="192" t="s">
        <v>193</v>
      </c>
      <c r="O52" s="184"/>
    </row>
    <row r="53" spans="1:15" ht="12.75">
      <c r="A53" s="60" t="s">
        <v>111</v>
      </c>
      <c r="B53" s="50" t="s">
        <v>71</v>
      </c>
      <c r="C53" s="64">
        <f>TINV(C51,C54)</f>
        <v>1.971956498442922</v>
      </c>
      <c r="D53" s="183"/>
      <c r="E53" s="190" t="s">
        <v>445</v>
      </c>
      <c r="F53" s="191" t="s">
        <v>449</v>
      </c>
      <c r="G53" s="191">
        <v>0.044567901234586316</v>
      </c>
      <c r="H53" s="191">
        <v>1</v>
      </c>
      <c r="I53" s="191">
        <v>0.044567901234586316</v>
      </c>
      <c r="J53" s="191">
        <v>0.28194795625126284</v>
      </c>
      <c r="K53" s="191">
        <v>0.5960194090303239</v>
      </c>
      <c r="L53" s="191">
        <v>0.001414819350888518</v>
      </c>
      <c r="M53" s="191">
        <v>0.28194795625126284</v>
      </c>
      <c r="N53" s="192">
        <v>0.08255462180729611</v>
      </c>
      <c r="O53" s="184"/>
    </row>
    <row r="54" spans="1:15" ht="12.75">
      <c r="A54" s="60" t="s">
        <v>112</v>
      </c>
      <c r="B54" s="50" t="s">
        <v>73</v>
      </c>
      <c r="C54" s="64">
        <f>C40-1</f>
        <v>199</v>
      </c>
      <c r="D54" s="183"/>
      <c r="E54" s="190" t="s">
        <v>447</v>
      </c>
      <c r="F54" s="191" t="s">
        <v>449</v>
      </c>
      <c r="G54" s="191">
        <v>31.45620370370375</v>
      </c>
      <c r="H54" s="191">
        <v>199</v>
      </c>
      <c r="I54" s="191">
        <v>0.15807137539549623</v>
      </c>
      <c r="J54" s="191"/>
      <c r="K54" s="191"/>
      <c r="L54" s="191"/>
      <c r="M54" s="191"/>
      <c r="N54" s="192"/>
      <c r="O54" s="184"/>
    </row>
    <row r="55" spans="1:15" ht="15" thickBot="1">
      <c r="A55" s="60" t="s">
        <v>82</v>
      </c>
      <c r="B55" s="51" t="s">
        <v>429</v>
      </c>
      <c r="C55" s="61">
        <v>3.3</v>
      </c>
      <c r="D55" s="183"/>
      <c r="E55" s="193" t="s">
        <v>185</v>
      </c>
      <c r="F55" s="194" t="s">
        <v>200</v>
      </c>
      <c r="G55" s="194"/>
      <c r="H55" s="194"/>
      <c r="I55" s="194"/>
      <c r="J55" s="194"/>
      <c r="K55" s="194"/>
      <c r="L55" s="194"/>
      <c r="M55" s="194"/>
      <c r="N55" s="195"/>
      <c r="O55" s="184"/>
    </row>
    <row r="56" spans="1:14" ht="15" thickBot="1">
      <c r="A56" s="60" t="s">
        <v>124</v>
      </c>
      <c r="B56" s="51" t="s">
        <v>430</v>
      </c>
      <c r="C56" s="61">
        <v>3.321</v>
      </c>
      <c r="E56" s="186"/>
      <c r="F56" s="186"/>
      <c r="G56" s="186"/>
      <c r="H56" s="186"/>
      <c r="I56" s="186"/>
      <c r="J56" s="186"/>
      <c r="K56" s="186"/>
      <c r="L56" s="186"/>
      <c r="M56" s="186"/>
      <c r="N56" s="162"/>
    </row>
    <row r="57" spans="1:14" ht="12.75">
      <c r="A57" s="60" t="s">
        <v>125</v>
      </c>
      <c r="B57" s="50" t="s">
        <v>108</v>
      </c>
      <c r="C57" s="64">
        <f>(C55-C56)-((C53*C47))</f>
        <v>-0.10046984688725012</v>
      </c>
      <c r="D57" s="183"/>
      <c r="E57" s="187" t="s">
        <v>187</v>
      </c>
      <c r="F57" s="188"/>
      <c r="G57" s="188"/>
      <c r="H57" s="188"/>
      <c r="I57" s="188"/>
      <c r="J57" s="188"/>
      <c r="K57" s="188"/>
      <c r="L57" s="188"/>
      <c r="M57" s="189"/>
      <c r="N57" s="184"/>
    </row>
    <row r="58" spans="1:14" ht="13.5" thickBot="1">
      <c r="A58" s="65" t="s">
        <v>126</v>
      </c>
      <c r="B58" s="66" t="s">
        <v>110</v>
      </c>
      <c r="C58" s="67">
        <f>(C55-C56)+((C53*C47))</f>
        <v>0.05846984688724942</v>
      </c>
      <c r="D58" s="183"/>
      <c r="E58" s="190" t="s">
        <v>345</v>
      </c>
      <c r="F58" s="191"/>
      <c r="G58" s="191"/>
      <c r="H58" s="191"/>
      <c r="I58" s="191"/>
      <c r="J58" s="191"/>
      <c r="K58" s="191"/>
      <c r="L58" s="191"/>
      <c r="M58" s="192"/>
      <c r="N58" s="184"/>
    </row>
    <row r="59" spans="4:14" ht="12.75">
      <c r="D59" s="183"/>
      <c r="E59" s="190" t="s">
        <v>358</v>
      </c>
      <c r="F59" s="191"/>
      <c r="G59" s="191"/>
      <c r="H59" s="191"/>
      <c r="I59" s="191"/>
      <c r="J59" s="191"/>
      <c r="K59" s="191"/>
      <c r="L59" s="191"/>
      <c r="M59" s="192"/>
      <c r="N59" s="184"/>
    </row>
    <row r="60" spans="1:14" ht="13.5" thickBot="1">
      <c r="A60" s="206" t="s">
        <v>468</v>
      </c>
      <c r="B60" s="207"/>
      <c r="C60" s="207"/>
      <c r="D60" s="183"/>
      <c r="E60" s="190" t="s">
        <v>188</v>
      </c>
      <c r="F60" s="191" t="s">
        <v>189</v>
      </c>
      <c r="G60" s="191" t="s">
        <v>175</v>
      </c>
      <c r="H60" s="191" t="s">
        <v>190</v>
      </c>
      <c r="I60" s="191" t="s">
        <v>173</v>
      </c>
      <c r="J60" s="191" t="s">
        <v>183</v>
      </c>
      <c r="K60" s="191" t="s">
        <v>191</v>
      </c>
      <c r="L60" s="191" t="s">
        <v>192</v>
      </c>
      <c r="M60" s="192" t="s">
        <v>193</v>
      </c>
      <c r="N60" s="184"/>
    </row>
    <row r="61" spans="1:14" ht="13.5" thickBot="1">
      <c r="A61" s="133" t="s">
        <v>262</v>
      </c>
      <c r="B61" s="17"/>
      <c r="C61" s="17"/>
      <c r="D61" s="183"/>
      <c r="E61" s="190" t="s">
        <v>195</v>
      </c>
      <c r="F61" s="191">
        <v>4383.911234567901</v>
      </c>
      <c r="G61" s="191">
        <v>1</v>
      </c>
      <c r="H61" s="191">
        <v>4383.911234567901</v>
      </c>
      <c r="I61" s="191">
        <v>3759.786950639546</v>
      </c>
      <c r="J61" s="191">
        <v>3.4793831387341353E-131</v>
      </c>
      <c r="K61" s="191">
        <v>0.9497320763958133</v>
      </c>
      <c r="L61" s="191">
        <v>3759.7869506395464</v>
      </c>
      <c r="M61" s="192">
        <v>1</v>
      </c>
      <c r="N61" s="184"/>
    </row>
    <row r="62" spans="1:14" ht="12.75">
      <c r="A62" s="112" t="s">
        <v>96</v>
      </c>
      <c r="B62" s="134" t="s">
        <v>97</v>
      </c>
      <c r="C62" s="135">
        <f>((C63-C64)/C63)*C65/C64</f>
        <v>0.0021787407407407406</v>
      </c>
      <c r="D62" s="183"/>
      <c r="E62" s="190" t="s">
        <v>197</v>
      </c>
      <c r="F62" s="191">
        <v>232.03398148148153</v>
      </c>
      <c r="G62" s="191">
        <v>199</v>
      </c>
      <c r="H62" s="191">
        <v>1.1659999069421183</v>
      </c>
      <c r="I62" s="191"/>
      <c r="J62" s="191"/>
      <c r="K62" s="191"/>
      <c r="L62" s="191"/>
      <c r="M62" s="192"/>
      <c r="N62" s="184"/>
    </row>
    <row r="63" spans="1:14" ht="13.5" thickBot="1">
      <c r="A63" s="114" t="s">
        <v>98</v>
      </c>
      <c r="B63" s="117" t="s">
        <v>2</v>
      </c>
      <c r="C63" s="124">
        <v>27000</v>
      </c>
      <c r="D63" s="183"/>
      <c r="E63" s="193" t="s">
        <v>185</v>
      </c>
      <c r="F63" s="194" t="s">
        <v>200</v>
      </c>
      <c r="G63" s="194"/>
      <c r="H63" s="194"/>
      <c r="I63" s="194"/>
      <c r="J63" s="194"/>
      <c r="K63" s="194"/>
      <c r="L63" s="194"/>
      <c r="M63" s="195"/>
      <c r="N63" s="184"/>
    </row>
    <row r="64" spans="1:15" ht="13.5" thickBot="1">
      <c r="A64" s="114" t="s">
        <v>99</v>
      </c>
      <c r="B64" s="117" t="s">
        <v>100</v>
      </c>
      <c r="C64" s="124">
        <v>200</v>
      </c>
      <c r="E64" s="186"/>
      <c r="F64" s="186"/>
      <c r="G64" s="186"/>
      <c r="H64" s="186"/>
      <c r="I64" s="186"/>
      <c r="J64" s="186"/>
      <c r="K64" s="186"/>
      <c r="L64" s="186"/>
      <c r="M64" s="186"/>
      <c r="N64" s="185"/>
      <c r="O64" s="185"/>
    </row>
    <row r="65" spans="1:16" ht="15.75">
      <c r="A65" s="114" t="s">
        <v>101</v>
      </c>
      <c r="B65" s="117" t="s">
        <v>263</v>
      </c>
      <c r="C65" s="124">
        <v>0.439</v>
      </c>
      <c r="D65" s="183"/>
      <c r="E65" s="187" t="s">
        <v>450</v>
      </c>
      <c r="F65" s="188"/>
      <c r="G65" s="188"/>
      <c r="H65" s="188"/>
      <c r="I65" s="188"/>
      <c r="J65" s="188"/>
      <c r="K65" s="188"/>
      <c r="L65" s="188"/>
      <c r="M65" s="188"/>
      <c r="N65" s="188"/>
      <c r="O65" s="189"/>
      <c r="P65" s="184"/>
    </row>
    <row r="66" spans="1:16" ht="12.75">
      <c r="A66" s="114" t="s">
        <v>102</v>
      </c>
      <c r="B66" s="116" t="s">
        <v>103</v>
      </c>
      <c r="C66" s="123">
        <f>C62^0.5</f>
        <v>0.04667698298670064</v>
      </c>
      <c r="D66" s="183"/>
      <c r="E66" s="190" t="s">
        <v>293</v>
      </c>
      <c r="F66" s="191" t="s">
        <v>451</v>
      </c>
      <c r="G66" s="191" t="s">
        <v>452</v>
      </c>
      <c r="H66" s="191" t="s">
        <v>453</v>
      </c>
      <c r="I66" s="191" t="s">
        <v>71</v>
      </c>
      <c r="J66" s="191" t="s">
        <v>183</v>
      </c>
      <c r="K66" s="191" t="s">
        <v>454</v>
      </c>
      <c r="L66" s="191"/>
      <c r="M66" s="191" t="s">
        <v>191</v>
      </c>
      <c r="N66" s="191" t="s">
        <v>192</v>
      </c>
      <c r="O66" s="192" t="s">
        <v>193</v>
      </c>
      <c r="P66" s="184"/>
    </row>
    <row r="67" spans="1:16" ht="12.75">
      <c r="A67" s="114" t="s">
        <v>104</v>
      </c>
      <c r="B67" s="116" t="s">
        <v>105</v>
      </c>
      <c r="C67" s="123">
        <f>((C63-C64)/(C63-1))^0.5</f>
        <v>0.9963078623813216</v>
      </c>
      <c r="D67" s="183"/>
      <c r="E67" s="190"/>
      <c r="F67" s="191"/>
      <c r="G67" s="191"/>
      <c r="H67" s="191"/>
      <c r="I67" s="191"/>
      <c r="J67" s="191"/>
      <c r="K67" s="191" t="s">
        <v>455</v>
      </c>
      <c r="L67" s="191" t="s">
        <v>456</v>
      </c>
      <c r="M67" s="191"/>
      <c r="N67" s="191"/>
      <c r="O67" s="192"/>
      <c r="P67" s="184"/>
    </row>
    <row r="68" spans="1:16" ht="12.75">
      <c r="A68" s="114" t="s">
        <v>59</v>
      </c>
      <c r="B68" s="116" t="s">
        <v>60</v>
      </c>
      <c r="C68" s="123">
        <f>1-C69</f>
        <v>0.95</v>
      </c>
      <c r="D68" s="183"/>
      <c r="E68" s="190" t="s">
        <v>440</v>
      </c>
      <c r="F68" s="191" t="s">
        <v>195</v>
      </c>
      <c r="G68" s="191">
        <v>3.3</v>
      </c>
      <c r="H68" s="191">
        <v>0.06649895151627447</v>
      </c>
      <c r="I68" s="191">
        <v>49.62484256901979</v>
      </c>
      <c r="J68" s="191">
        <v>5.0400590022488146E-114</v>
      </c>
      <c r="K68" s="191">
        <v>3.1688669573716317</v>
      </c>
      <c r="L68" s="191">
        <v>3.431133042628369</v>
      </c>
      <c r="M68" s="191">
        <v>0.9252336448598131</v>
      </c>
      <c r="N68" s="191">
        <v>49.62484256901979</v>
      </c>
      <c r="O68" s="192">
        <v>1</v>
      </c>
      <c r="P68" s="184"/>
    </row>
    <row r="69" spans="1:16" ht="12.75">
      <c r="A69" s="114" t="s">
        <v>61</v>
      </c>
      <c r="B69" s="117" t="s">
        <v>61</v>
      </c>
      <c r="C69" s="124">
        <v>0.05</v>
      </c>
      <c r="D69" s="183"/>
      <c r="E69" s="190" t="s">
        <v>441</v>
      </c>
      <c r="F69" s="191" t="s">
        <v>195</v>
      </c>
      <c r="G69" s="191">
        <v>3.321111111111111</v>
      </c>
      <c r="H69" s="191">
        <v>0.04688545466265899</v>
      </c>
      <c r="I69" s="191">
        <v>70.83457193721415</v>
      </c>
      <c r="J69" s="191">
        <v>4.1368963220833555E-143</v>
      </c>
      <c r="K69" s="191">
        <v>3.228655031958882</v>
      </c>
      <c r="L69" s="191">
        <v>3.41356719026334</v>
      </c>
      <c r="M69" s="191">
        <v>0.961852083870234</v>
      </c>
      <c r="N69" s="191">
        <v>70.83457193721415</v>
      </c>
      <c r="O69" s="192">
        <v>1</v>
      </c>
      <c r="P69" s="184"/>
    </row>
    <row r="70" spans="1:16" ht="13.5" thickBot="1">
      <c r="A70" s="114" t="s">
        <v>62</v>
      </c>
      <c r="B70" s="116" t="s">
        <v>83</v>
      </c>
      <c r="C70" s="123">
        <f>1-(C69/2)</f>
        <v>0.975</v>
      </c>
      <c r="D70" s="183"/>
      <c r="E70" s="193" t="s">
        <v>185</v>
      </c>
      <c r="F70" s="194" t="s">
        <v>200</v>
      </c>
      <c r="G70" s="194"/>
      <c r="H70" s="194"/>
      <c r="I70" s="194"/>
      <c r="J70" s="194"/>
      <c r="K70" s="194"/>
      <c r="L70" s="194"/>
      <c r="M70" s="194"/>
      <c r="N70" s="194"/>
      <c r="O70" s="195"/>
      <c r="P70" s="184"/>
    </row>
    <row r="71" spans="1:15" ht="13.5" thickBot="1">
      <c r="A71" s="114" t="s">
        <v>111</v>
      </c>
      <c r="B71" s="116" t="s">
        <v>71</v>
      </c>
      <c r="C71" s="123">
        <f>TINV(C69,C72)</f>
        <v>1.971956498442922</v>
      </c>
      <c r="E71" s="186"/>
      <c r="F71" s="186"/>
      <c r="G71" s="186"/>
      <c r="H71" s="186"/>
      <c r="I71" s="186"/>
      <c r="J71" s="162"/>
      <c r="K71" s="162"/>
      <c r="L71" s="162"/>
      <c r="M71" s="162"/>
      <c r="N71" s="162"/>
      <c r="O71" s="162"/>
    </row>
    <row r="72" spans="1:10" ht="12.75">
      <c r="A72" s="114" t="s">
        <v>112</v>
      </c>
      <c r="B72" s="116" t="s">
        <v>73</v>
      </c>
      <c r="C72" s="123">
        <f>C64-1</f>
        <v>199</v>
      </c>
      <c r="D72" s="183"/>
      <c r="E72" s="187" t="s">
        <v>457</v>
      </c>
      <c r="F72" s="188"/>
      <c r="G72" s="188"/>
      <c r="H72" s="188"/>
      <c r="I72" s="189"/>
      <c r="J72" s="184"/>
    </row>
    <row r="73" spans="1:10" ht="12.75">
      <c r="A73" s="114" t="s">
        <v>106</v>
      </c>
      <c r="B73" s="117" t="s">
        <v>13</v>
      </c>
      <c r="C73" s="124">
        <v>3.321</v>
      </c>
      <c r="D73" s="183"/>
      <c r="E73" s="190" t="s">
        <v>345</v>
      </c>
      <c r="F73" s="191"/>
      <c r="G73" s="191"/>
      <c r="H73" s="191"/>
      <c r="I73" s="192"/>
      <c r="J73" s="184"/>
    </row>
    <row r="74" spans="1:10" ht="12.75">
      <c r="A74" s="114" t="s">
        <v>107</v>
      </c>
      <c r="B74" s="116" t="s">
        <v>108</v>
      </c>
      <c r="C74" s="123">
        <f>C73-(C71*C66)</f>
        <v>3.228955020071666</v>
      </c>
      <c r="D74" s="183"/>
      <c r="E74" s="190" t="s">
        <v>445</v>
      </c>
      <c r="F74" s="191" t="s">
        <v>3</v>
      </c>
      <c r="G74" s="191" t="s">
        <v>453</v>
      </c>
      <c r="H74" s="191" t="s">
        <v>454</v>
      </c>
      <c r="I74" s="192"/>
      <c r="J74" s="184"/>
    </row>
    <row r="75" spans="1:10" ht="12.75">
      <c r="A75" s="114" t="s">
        <v>109</v>
      </c>
      <c r="B75" s="116" t="s">
        <v>110</v>
      </c>
      <c r="C75" s="123">
        <f>C73+C71*C66</f>
        <v>3.413044979928334</v>
      </c>
      <c r="D75" s="183"/>
      <c r="E75" s="190"/>
      <c r="F75" s="191"/>
      <c r="G75" s="191"/>
      <c r="H75" s="191" t="s">
        <v>455</v>
      </c>
      <c r="I75" s="192" t="s">
        <v>456</v>
      </c>
      <c r="J75" s="184"/>
    </row>
    <row r="76" spans="1:10" ht="12.75">
      <c r="A76" s="114" t="s">
        <v>229</v>
      </c>
      <c r="B76" s="116" t="s">
        <v>230</v>
      </c>
      <c r="C76" s="136">
        <f>C75-C74</f>
        <v>0.1840899598566681</v>
      </c>
      <c r="D76" s="183"/>
      <c r="E76" s="190">
        <v>1</v>
      </c>
      <c r="F76" s="191">
        <v>3.3</v>
      </c>
      <c r="G76" s="191">
        <v>0.06649895151627447</v>
      </c>
      <c r="H76" s="191">
        <v>3.1688669573716317</v>
      </c>
      <c r="I76" s="192">
        <v>3.431133042628369</v>
      </c>
      <c r="J76" s="184"/>
    </row>
    <row r="77" spans="1:11" ht="13.5" thickBot="1">
      <c r="A77" s="114" t="s">
        <v>231</v>
      </c>
      <c r="B77" s="116" t="s">
        <v>232</v>
      </c>
      <c r="C77" s="123">
        <f>C76/C74</f>
        <v>0.0570122404035787</v>
      </c>
      <c r="D77" s="183"/>
      <c r="E77" s="193">
        <v>2</v>
      </c>
      <c r="F77" s="194">
        <v>3.321111111111111</v>
      </c>
      <c r="G77" s="194">
        <v>0.04688545466265899</v>
      </c>
      <c r="H77" s="194">
        <v>3.228655031958882</v>
      </c>
      <c r="I77" s="195">
        <v>3.41356719026334</v>
      </c>
      <c r="J77" s="184"/>
      <c r="K77">
        <f>0.92/0.05</f>
        <v>18.4</v>
      </c>
    </row>
    <row r="78" spans="1:11" ht="13.5" thickBot="1">
      <c r="A78" s="114" t="s">
        <v>233</v>
      </c>
      <c r="B78" s="116" t="s">
        <v>234</v>
      </c>
      <c r="C78" s="123">
        <f>C77*100</f>
        <v>5.70122404035787</v>
      </c>
      <c r="E78" s="186"/>
      <c r="F78" s="186"/>
      <c r="G78" s="186"/>
      <c r="H78" s="186"/>
      <c r="I78" s="186"/>
      <c r="J78" s="185"/>
      <c r="K78" s="185"/>
    </row>
    <row r="79" spans="1:12" ht="12.75">
      <c r="A79" s="114" t="s">
        <v>260</v>
      </c>
      <c r="B79" s="116" t="s">
        <v>236</v>
      </c>
      <c r="C79" s="136">
        <f>C71*C66</f>
        <v>0.09204497992833403</v>
      </c>
      <c r="D79" s="183"/>
      <c r="E79" s="187" t="s">
        <v>458</v>
      </c>
      <c r="F79" s="188"/>
      <c r="G79" s="188"/>
      <c r="H79" s="188"/>
      <c r="I79" s="188"/>
      <c r="J79" s="188"/>
      <c r="K79" s="189"/>
      <c r="L79" s="184"/>
    </row>
    <row r="80" spans="1:12" ht="12.75">
      <c r="A80" s="114" t="s">
        <v>261</v>
      </c>
      <c r="B80" s="116" t="s">
        <v>237</v>
      </c>
      <c r="C80" s="137">
        <f>C79/C74</f>
        <v>0.02850612020178934</v>
      </c>
      <c r="D80" s="183"/>
      <c r="E80" s="190" t="s">
        <v>345</v>
      </c>
      <c r="F80" s="191"/>
      <c r="G80" s="191"/>
      <c r="H80" s="191"/>
      <c r="I80" s="191"/>
      <c r="J80" s="191"/>
      <c r="K80" s="192"/>
      <c r="L80" s="184"/>
    </row>
    <row r="81" spans="1:12" ht="12.75">
      <c r="A81" s="114" t="s">
        <v>248</v>
      </c>
      <c r="B81" s="116" t="s">
        <v>239</v>
      </c>
      <c r="C81" s="137">
        <f>C80*100</f>
        <v>2.850612020178934</v>
      </c>
      <c r="D81" s="183"/>
      <c r="E81" s="190" t="s">
        <v>459</v>
      </c>
      <c r="F81" s="191" t="s">
        <v>460</v>
      </c>
      <c r="G81" s="191" t="s">
        <v>461</v>
      </c>
      <c r="H81" s="191" t="s">
        <v>453</v>
      </c>
      <c r="I81" s="191" t="s">
        <v>462</v>
      </c>
      <c r="J81" s="191" t="s">
        <v>463</v>
      </c>
      <c r="K81" s="192"/>
      <c r="L81" s="184"/>
    </row>
    <row r="82" spans="1:12" ht="12.75">
      <c r="A82" s="114" t="s">
        <v>240</v>
      </c>
      <c r="B82" s="117" t="s">
        <v>241</v>
      </c>
      <c r="C82" s="124">
        <v>5</v>
      </c>
      <c r="D82" s="183"/>
      <c r="E82" s="190"/>
      <c r="F82" s="191"/>
      <c r="G82" s="191"/>
      <c r="H82" s="191"/>
      <c r="I82" s="191"/>
      <c r="J82" s="191" t="s">
        <v>455</v>
      </c>
      <c r="K82" s="192" t="s">
        <v>456</v>
      </c>
      <c r="L82" s="184"/>
    </row>
    <row r="83" spans="1:12" ht="12.75">
      <c r="A83" s="114" t="s">
        <v>244</v>
      </c>
      <c r="B83" s="116" t="s">
        <v>246</v>
      </c>
      <c r="C83" s="137">
        <f>C79/C82</f>
        <v>0.018408995985666806</v>
      </c>
      <c r="D83" s="183"/>
      <c r="E83" s="190">
        <v>1</v>
      </c>
      <c r="F83" s="191">
        <v>2</v>
      </c>
      <c r="G83" s="191">
        <v>-0.02111111111111086</v>
      </c>
      <c r="H83" s="191">
        <v>0.039758191029710635</v>
      </c>
      <c r="I83" s="191">
        <v>0.5960194090304067</v>
      </c>
      <c r="J83" s="191">
        <v>-0.09951253609974285</v>
      </c>
      <c r="K83" s="192">
        <v>0.05729031387752113</v>
      </c>
      <c r="L83" s="184"/>
    </row>
    <row r="84" spans="1:12" ht="12.75">
      <c r="A84" s="114" t="s">
        <v>245</v>
      </c>
      <c r="B84" s="116" t="s">
        <v>247</v>
      </c>
      <c r="C84" s="137">
        <f>C83*100</f>
        <v>1.8408995985666805</v>
      </c>
      <c r="D84" s="183"/>
      <c r="E84" s="190">
        <v>2</v>
      </c>
      <c r="F84" s="191">
        <v>1</v>
      </c>
      <c r="G84" s="191">
        <v>0.02111111111111086</v>
      </c>
      <c r="H84" s="191">
        <v>0.039758191029710635</v>
      </c>
      <c r="I84" s="191">
        <v>0.5960194090304067</v>
      </c>
      <c r="J84" s="191">
        <v>-0.05729031387752113</v>
      </c>
      <c r="K84" s="192">
        <v>0.09951253609974285</v>
      </c>
      <c r="L84" s="184"/>
    </row>
    <row r="85" spans="1:12" ht="13.5" thickBot="1">
      <c r="A85" s="118" t="s">
        <v>242</v>
      </c>
      <c r="B85" s="138" t="s">
        <v>243</v>
      </c>
      <c r="C85" s="139">
        <f>100-C84</f>
        <v>98.15910040143332</v>
      </c>
      <c r="D85" s="183"/>
      <c r="E85" s="190" t="s">
        <v>464</v>
      </c>
      <c r="F85" s="191"/>
      <c r="G85" s="191"/>
      <c r="H85" s="191"/>
      <c r="I85" s="191"/>
      <c r="J85" s="191"/>
      <c r="K85" s="192"/>
      <c r="L85" s="184"/>
    </row>
    <row r="86" spans="4:12" ht="13.5" thickBot="1">
      <c r="D86" s="183"/>
      <c r="E86" s="193" t="s">
        <v>185</v>
      </c>
      <c r="F86" s="194" t="s">
        <v>465</v>
      </c>
      <c r="G86" s="194"/>
      <c r="H86" s="194"/>
      <c r="I86" s="194"/>
      <c r="J86" s="194"/>
      <c r="K86" s="195"/>
      <c r="L86" s="184"/>
    </row>
    <row r="87" spans="1:13" ht="13.5" thickBot="1">
      <c r="A87" s="206" t="s">
        <v>470</v>
      </c>
      <c r="B87" s="207"/>
      <c r="C87" s="207"/>
      <c r="E87" s="186"/>
      <c r="F87" s="186"/>
      <c r="G87" s="186"/>
      <c r="H87" s="186"/>
      <c r="I87" s="186"/>
      <c r="J87" s="186"/>
      <c r="K87" s="186"/>
      <c r="L87" s="185"/>
      <c r="M87" s="185"/>
    </row>
    <row r="88" spans="1:14" ht="13.5" thickBot="1">
      <c r="A88" s="133" t="s">
        <v>262</v>
      </c>
      <c r="B88" s="17"/>
      <c r="C88" s="17"/>
      <c r="D88" s="183"/>
      <c r="E88" s="187" t="s">
        <v>466</v>
      </c>
      <c r="F88" s="188"/>
      <c r="G88" s="188"/>
      <c r="H88" s="188"/>
      <c r="I88" s="188"/>
      <c r="J88" s="188"/>
      <c r="K88" s="188"/>
      <c r="L88" s="188"/>
      <c r="M88" s="189"/>
      <c r="N88" s="184"/>
    </row>
    <row r="89" spans="1:14" ht="12.75">
      <c r="A89" s="112" t="s">
        <v>96</v>
      </c>
      <c r="B89" s="134" t="s">
        <v>97</v>
      </c>
      <c r="C89" s="135">
        <f>((C90-C91)/C90)*C92/C91</f>
        <v>0.004387259259259259</v>
      </c>
      <c r="D89" s="183"/>
      <c r="E89" s="190" t="s">
        <v>1</v>
      </c>
      <c r="F89" s="191" t="s">
        <v>285</v>
      </c>
      <c r="G89" s="191" t="s">
        <v>173</v>
      </c>
      <c r="H89" s="191" t="s">
        <v>286</v>
      </c>
      <c r="I89" s="191" t="s">
        <v>287</v>
      </c>
      <c r="J89" s="191" t="s">
        <v>183</v>
      </c>
      <c r="K89" s="191" t="s">
        <v>191</v>
      </c>
      <c r="L89" s="191" t="s">
        <v>192</v>
      </c>
      <c r="M89" s="192" t="s">
        <v>193</v>
      </c>
      <c r="N89" s="184"/>
    </row>
    <row r="90" spans="1:14" ht="12.75">
      <c r="A90" s="114" t="s">
        <v>98</v>
      </c>
      <c r="B90" s="117" t="s">
        <v>2</v>
      </c>
      <c r="C90" s="124">
        <v>27000</v>
      </c>
      <c r="D90" s="183"/>
      <c r="E90" s="190" t="s">
        <v>288</v>
      </c>
      <c r="F90" s="191">
        <v>0.0014148193508879002</v>
      </c>
      <c r="G90" s="191">
        <v>0.28194795625113955</v>
      </c>
      <c r="H90" s="191">
        <v>1</v>
      </c>
      <c r="I90" s="191">
        <v>199</v>
      </c>
      <c r="J90" s="191">
        <v>0.5960194090304066</v>
      </c>
      <c r="K90" s="191">
        <v>0.0014148193508879002</v>
      </c>
      <c r="L90" s="191">
        <v>0.28194795625113955</v>
      </c>
      <c r="M90" s="192">
        <v>0.08255462180728168</v>
      </c>
      <c r="N90" s="184"/>
    </row>
    <row r="91" spans="1:14" ht="12.75">
      <c r="A91" s="114" t="s">
        <v>99</v>
      </c>
      <c r="B91" s="117" t="s">
        <v>100</v>
      </c>
      <c r="C91" s="124">
        <v>200</v>
      </c>
      <c r="D91" s="183"/>
      <c r="E91" s="190" t="s">
        <v>289</v>
      </c>
      <c r="F91" s="191">
        <v>0.9985851806491121</v>
      </c>
      <c r="G91" s="191">
        <v>0.28194795625114777</v>
      </c>
      <c r="H91" s="191">
        <v>1</v>
      </c>
      <c r="I91" s="191">
        <v>199</v>
      </c>
      <c r="J91" s="191">
        <v>0.5960194090303994</v>
      </c>
      <c r="K91" s="191">
        <v>0.0014148193508879</v>
      </c>
      <c r="L91" s="191">
        <v>0.2819479562511395</v>
      </c>
      <c r="M91" s="192">
        <v>0.08255462180728168</v>
      </c>
      <c r="N91" s="184"/>
    </row>
    <row r="92" spans="1:14" ht="15.75">
      <c r="A92" s="114" t="s">
        <v>101</v>
      </c>
      <c r="B92" s="117" t="s">
        <v>263</v>
      </c>
      <c r="C92" s="124">
        <v>0.884</v>
      </c>
      <c r="D92" s="183"/>
      <c r="E92" s="190" t="s">
        <v>290</v>
      </c>
      <c r="F92" s="191">
        <v>0.0014168239007594952</v>
      </c>
      <c r="G92" s="191">
        <v>0.28194795625113955</v>
      </c>
      <c r="H92" s="191">
        <v>1</v>
      </c>
      <c r="I92" s="191">
        <v>199</v>
      </c>
      <c r="J92" s="191">
        <v>0.5960194090304066</v>
      </c>
      <c r="K92" s="191">
        <v>0.0014148193508879002</v>
      </c>
      <c r="L92" s="191">
        <v>0.28194795625113955</v>
      </c>
      <c r="M92" s="192">
        <v>0.08255462180728168</v>
      </c>
      <c r="N92" s="184"/>
    </row>
    <row r="93" spans="1:14" ht="12.75">
      <c r="A93" s="114" t="s">
        <v>102</v>
      </c>
      <c r="B93" s="116" t="s">
        <v>103</v>
      </c>
      <c r="C93" s="123">
        <f>C89^0.5</f>
        <v>0.06623638923778423</v>
      </c>
      <c r="D93" s="183"/>
      <c r="E93" s="190" t="s">
        <v>291</v>
      </c>
      <c r="F93" s="191">
        <v>0.0014168239007594952</v>
      </c>
      <c r="G93" s="191">
        <v>0.28194795625113955</v>
      </c>
      <c r="H93" s="191">
        <v>1</v>
      </c>
      <c r="I93" s="191">
        <v>199</v>
      </c>
      <c r="J93" s="191">
        <v>0.5960194090304066</v>
      </c>
      <c r="K93" s="191">
        <v>0.0014148193508879002</v>
      </c>
      <c r="L93" s="191">
        <v>0.28194795625113955</v>
      </c>
      <c r="M93" s="192">
        <v>0.08255462180728168</v>
      </c>
      <c r="N93" s="184"/>
    </row>
    <row r="94" spans="1:14" ht="12.75">
      <c r="A94" s="114" t="s">
        <v>104</v>
      </c>
      <c r="B94" s="116" t="s">
        <v>105</v>
      </c>
      <c r="C94" s="123">
        <f>((C90-C91)/(C90-1))^0.5</f>
        <v>0.9963078623813216</v>
      </c>
      <c r="D94" s="183"/>
      <c r="E94" s="190" t="s">
        <v>467</v>
      </c>
      <c r="F94" s="191"/>
      <c r="G94" s="191"/>
      <c r="H94" s="191"/>
      <c r="I94" s="191"/>
      <c r="J94" s="191"/>
      <c r="K94" s="191"/>
      <c r="L94" s="191"/>
      <c r="M94" s="192"/>
      <c r="N94" s="184"/>
    </row>
    <row r="95" spans="1:14" ht="12.75">
      <c r="A95" s="114" t="s">
        <v>59</v>
      </c>
      <c r="B95" s="116" t="s">
        <v>60</v>
      </c>
      <c r="C95" s="123">
        <f>1-C96</f>
        <v>0.95</v>
      </c>
      <c r="D95" s="183"/>
      <c r="E95" s="190" t="s">
        <v>185</v>
      </c>
      <c r="F95" s="191" t="s">
        <v>200</v>
      </c>
      <c r="G95" s="191"/>
      <c r="H95" s="191"/>
      <c r="I95" s="191"/>
      <c r="J95" s="191"/>
      <c r="K95" s="191"/>
      <c r="L95" s="191"/>
      <c r="M95" s="192"/>
      <c r="N95" s="184"/>
    </row>
    <row r="96" spans="1:14" ht="13.5" thickBot="1">
      <c r="A96" s="114" t="s">
        <v>61</v>
      </c>
      <c r="B96" s="117" t="s">
        <v>61</v>
      </c>
      <c r="C96" s="124">
        <v>0.05</v>
      </c>
      <c r="D96" s="183"/>
      <c r="E96" s="193" t="s">
        <v>201</v>
      </c>
      <c r="F96" s="194" t="s">
        <v>292</v>
      </c>
      <c r="G96" s="194"/>
      <c r="H96" s="194"/>
      <c r="I96" s="194"/>
      <c r="J96" s="194"/>
      <c r="K96" s="194"/>
      <c r="L96" s="194"/>
      <c r="M96" s="195"/>
      <c r="N96" s="184"/>
    </row>
    <row r="97" spans="1:13" ht="12.75">
      <c r="A97" s="114" t="s">
        <v>62</v>
      </c>
      <c r="B97" s="116" t="s">
        <v>83</v>
      </c>
      <c r="C97" s="123">
        <f>1-(C96/2)</f>
        <v>0.975</v>
      </c>
      <c r="E97" s="162"/>
      <c r="F97" s="162"/>
      <c r="G97" s="162"/>
      <c r="H97" s="162"/>
      <c r="I97" s="162"/>
      <c r="J97" s="162"/>
      <c r="K97" s="162"/>
      <c r="L97" s="162"/>
      <c r="M97" s="162"/>
    </row>
    <row r="98" spans="1:3" ht="12.75">
      <c r="A98" s="114" t="s">
        <v>111</v>
      </c>
      <c r="B98" s="116" t="s">
        <v>71</v>
      </c>
      <c r="C98" s="123">
        <f>TINV(C96,C99)</f>
        <v>1.971956498442922</v>
      </c>
    </row>
    <row r="99" spans="1:3" ht="12.75">
      <c r="A99" s="114" t="s">
        <v>112</v>
      </c>
      <c r="B99" s="116" t="s">
        <v>73</v>
      </c>
      <c r="C99" s="123">
        <f>C91-1</f>
        <v>199</v>
      </c>
    </row>
    <row r="100" spans="1:3" ht="12.75">
      <c r="A100" s="114" t="s">
        <v>106</v>
      </c>
      <c r="B100" s="117" t="s">
        <v>13</v>
      </c>
      <c r="C100" s="124">
        <v>3.3</v>
      </c>
    </row>
    <row r="101" spans="1:3" ht="12.75">
      <c r="A101" s="114" t="s">
        <v>107</v>
      </c>
      <c r="B101" s="116" t="s">
        <v>108</v>
      </c>
      <c r="C101" s="123">
        <f>C100-(C98*C93)</f>
        <v>3.1693847218091564</v>
      </c>
    </row>
    <row r="102" spans="1:3" ht="12.75">
      <c r="A102" s="114" t="s">
        <v>109</v>
      </c>
      <c r="B102" s="116" t="s">
        <v>110</v>
      </c>
      <c r="C102" s="123">
        <f>C100+C98*C93</f>
        <v>3.430615278190843</v>
      </c>
    </row>
    <row r="103" spans="1:3" ht="12.75">
      <c r="A103" s="114" t="s">
        <v>229</v>
      </c>
      <c r="B103" s="116" t="s">
        <v>230</v>
      </c>
      <c r="C103" s="136">
        <f>C102-C101</f>
        <v>0.2612305563816868</v>
      </c>
    </row>
    <row r="104" spans="1:3" ht="12.75">
      <c r="A104" s="114" t="s">
        <v>231</v>
      </c>
      <c r="B104" s="116" t="s">
        <v>232</v>
      </c>
      <c r="C104" s="123">
        <f>C103/C101</f>
        <v>0.08242311341507651</v>
      </c>
    </row>
    <row r="105" spans="1:3" ht="12.75">
      <c r="A105" s="114" t="s">
        <v>233</v>
      </c>
      <c r="B105" s="116" t="s">
        <v>234</v>
      </c>
      <c r="C105" s="123">
        <f>C104*100</f>
        <v>8.242311341507651</v>
      </c>
    </row>
    <row r="106" spans="1:3" ht="12.75">
      <c r="A106" s="114" t="s">
        <v>260</v>
      </c>
      <c r="B106" s="116" t="s">
        <v>236</v>
      </c>
      <c r="C106" s="136">
        <f>C98*C93</f>
        <v>0.13061527819084343</v>
      </c>
    </row>
    <row r="107" spans="1:3" ht="12.75">
      <c r="A107" s="114" t="s">
        <v>261</v>
      </c>
      <c r="B107" s="116" t="s">
        <v>237</v>
      </c>
      <c r="C107" s="137">
        <f>C106/C101</f>
        <v>0.04121155670753826</v>
      </c>
    </row>
    <row r="108" spans="1:3" ht="12.75">
      <c r="A108" s="114" t="s">
        <v>248</v>
      </c>
      <c r="B108" s="116" t="s">
        <v>239</v>
      </c>
      <c r="C108" s="137">
        <f>C107*100</f>
        <v>4.121155670753826</v>
      </c>
    </row>
    <row r="109" spans="1:3" ht="12.75">
      <c r="A109" s="114" t="s">
        <v>240</v>
      </c>
      <c r="B109" s="117" t="s">
        <v>241</v>
      </c>
      <c r="C109" s="124">
        <v>5</v>
      </c>
    </row>
    <row r="110" spans="1:3" ht="12.75">
      <c r="A110" s="114" t="s">
        <v>244</v>
      </c>
      <c r="B110" s="116" t="s">
        <v>246</v>
      </c>
      <c r="C110" s="137">
        <f>C106/C109</f>
        <v>0.026123055638168684</v>
      </c>
    </row>
    <row r="111" spans="1:3" ht="12.75">
      <c r="A111" s="114" t="s">
        <v>245</v>
      </c>
      <c r="B111" s="116" t="s">
        <v>247</v>
      </c>
      <c r="C111" s="137">
        <f>C110*100</f>
        <v>2.6123055638168684</v>
      </c>
    </row>
    <row r="112" spans="1:3" ht="13.5" thickBot="1">
      <c r="A112" s="118" t="s">
        <v>242</v>
      </c>
      <c r="B112" s="138" t="s">
        <v>243</v>
      </c>
      <c r="C112" s="139">
        <f>100-C111</f>
        <v>97.38769443618312</v>
      </c>
    </row>
    <row r="115" spans="1:14" ht="26.25">
      <c r="A115" s="205" t="s">
        <v>480</v>
      </c>
      <c r="B115" s="7"/>
      <c r="C115" s="7"/>
      <c r="D115" s="7"/>
      <c r="E115" s="7"/>
      <c r="F115" s="7"/>
      <c r="G115" s="7"/>
      <c r="H115" s="7"/>
      <c r="I115" s="7"/>
      <c r="J115" s="7"/>
      <c r="K115" s="7"/>
      <c r="L115" s="7"/>
      <c r="M115" s="7"/>
      <c r="N115" s="7"/>
    </row>
    <row r="116" spans="5:10" ht="13.5" thickBot="1">
      <c r="E116" s="185"/>
      <c r="F116" s="185"/>
      <c r="G116" s="185"/>
      <c r="H116" s="185"/>
      <c r="I116" s="185"/>
      <c r="J116" s="185"/>
    </row>
    <row r="117" spans="4:11" ht="12.75">
      <c r="D117" s="183"/>
      <c r="E117" s="196" t="s">
        <v>439</v>
      </c>
      <c r="F117" s="197"/>
      <c r="G117" s="197"/>
      <c r="H117" s="197"/>
      <c r="I117" s="197"/>
      <c r="J117" s="198"/>
      <c r="K117" s="184"/>
    </row>
    <row r="118" spans="4:11" ht="13.5" thickBot="1">
      <c r="D118" s="183"/>
      <c r="E118" s="199" t="s">
        <v>1</v>
      </c>
      <c r="F118" s="200" t="s">
        <v>1</v>
      </c>
      <c r="G118" s="200" t="s">
        <v>3</v>
      </c>
      <c r="H118" s="200" t="s">
        <v>2</v>
      </c>
      <c r="I118" s="200" t="s">
        <v>171</v>
      </c>
      <c r="J118" s="201" t="s">
        <v>172</v>
      </c>
      <c r="K118" s="184" t="s">
        <v>469</v>
      </c>
    </row>
    <row r="119" spans="1:11" ht="13.5" thickBot="1">
      <c r="A119" s="168" t="s">
        <v>344</v>
      </c>
      <c r="B119" s="20"/>
      <c r="C119" s="20"/>
      <c r="D119" s="183"/>
      <c r="E119" s="199" t="s">
        <v>361</v>
      </c>
      <c r="F119" s="200" t="s">
        <v>15</v>
      </c>
      <c r="G119" s="200">
        <v>4.363636363636363</v>
      </c>
      <c r="H119" s="200">
        <v>297</v>
      </c>
      <c r="I119" s="200">
        <v>0.7459966866622506</v>
      </c>
      <c r="J119" s="201">
        <v>0.04328711818829393</v>
      </c>
      <c r="K119" s="184">
        <f>I119^2</f>
        <v>0.5565110565110561</v>
      </c>
    </row>
    <row r="120" spans="1:11" ht="13.5" thickBot="1">
      <c r="A120" s="36" t="s">
        <v>316</v>
      </c>
      <c r="B120" s="149" t="s">
        <v>318</v>
      </c>
      <c r="C120" s="150">
        <v>1.2121679760566353</v>
      </c>
      <c r="D120" s="183"/>
      <c r="E120" s="202"/>
      <c r="F120" s="203" t="s">
        <v>346</v>
      </c>
      <c r="G120" s="203">
        <v>4.273288439955104</v>
      </c>
      <c r="H120" s="203">
        <v>297</v>
      </c>
      <c r="I120" s="203">
        <v>0.6193155539362714</v>
      </c>
      <c r="J120" s="204">
        <v>0.035936333308710225</v>
      </c>
      <c r="K120" s="184">
        <f>I120^2</f>
        <v>0.3835517553473906</v>
      </c>
    </row>
    <row r="121" spans="1:10" ht="13.5" thickBot="1">
      <c r="A121" s="38" t="s">
        <v>317</v>
      </c>
      <c r="B121" s="151" t="s">
        <v>319</v>
      </c>
      <c r="C121" s="145">
        <v>63.78492386067803</v>
      </c>
      <c r="E121" s="186"/>
      <c r="F121" s="186"/>
      <c r="G121" s="186"/>
      <c r="H121" s="186"/>
      <c r="I121" s="186"/>
      <c r="J121" s="162"/>
    </row>
    <row r="122" spans="1:10" ht="12.75">
      <c r="A122" s="38" t="s">
        <v>151</v>
      </c>
      <c r="B122" s="25" t="s">
        <v>320</v>
      </c>
      <c r="C122" s="39">
        <f>SUM(C120:C121)</f>
        <v>64.99709183673467</v>
      </c>
      <c r="D122" s="183"/>
      <c r="E122" s="196" t="s">
        <v>359</v>
      </c>
      <c r="F122" s="197"/>
      <c r="G122" s="197"/>
      <c r="H122" s="197"/>
      <c r="I122" s="198"/>
      <c r="J122" s="184"/>
    </row>
    <row r="123" spans="1:10" ht="15.75">
      <c r="A123" s="38" t="s">
        <v>191</v>
      </c>
      <c r="B123" s="25" t="s">
        <v>300</v>
      </c>
      <c r="C123" s="215">
        <f>C120/C121</f>
        <v>0.01900398875922951</v>
      </c>
      <c r="D123" s="183"/>
      <c r="E123" s="199" t="s">
        <v>1</v>
      </c>
      <c r="F123" s="200" t="s">
        <v>1</v>
      </c>
      <c r="G123" s="200" t="s">
        <v>2</v>
      </c>
      <c r="H123" s="200" t="s">
        <v>360</v>
      </c>
      <c r="I123" s="201" t="s">
        <v>174</v>
      </c>
      <c r="J123" s="184"/>
    </row>
    <row r="124" spans="1:10" ht="13.5" thickBot="1">
      <c r="A124" s="169" t="s">
        <v>374</v>
      </c>
      <c r="B124" s="151"/>
      <c r="C124" s="145">
        <v>4.363636363636363</v>
      </c>
      <c r="D124" s="183"/>
      <c r="E124" s="202" t="s">
        <v>361</v>
      </c>
      <c r="F124" s="203" t="s">
        <v>362</v>
      </c>
      <c r="G124" s="203">
        <v>297</v>
      </c>
      <c r="H124" s="203">
        <v>0.5509475068123006</v>
      </c>
      <c r="I124" s="204">
        <v>5.612467235217884E-25</v>
      </c>
      <c r="J124" s="184"/>
    </row>
    <row r="125" spans="1:9" ht="12.75">
      <c r="A125" s="159" t="s">
        <v>375</v>
      </c>
      <c r="B125" s="151"/>
      <c r="C125" s="145">
        <v>4.273288439955104</v>
      </c>
      <c r="E125" s="162"/>
      <c r="F125" s="162"/>
      <c r="G125" s="162"/>
      <c r="H125" s="162"/>
      <c r="I125" s="162"/>
    </row>
    <row r="126" spans="1:14" ht="13.5" thickBot="1">
      <c r="A126" s="159" t="s">
        <v>376</v>
      </c>
      <c r="B126" s="151"/>
      <c r="C126" s="145">
        <v>297</v>
      </c>
      <c r="E126" s="185"/>
      <c r="F126" s="185"/>
      <c r="G126" s="185"/>
      <c r="H126" s="185"/>
      <c r="I126" s="185"/>
      <c r="J126" s="185"/>
      <c r="K126" s="185"/>
      <c r="L126" s="185"/>
      <c r="M126" s="185"/>
      <c r="N126" s="185"/>
    </row>
    <row r="127" spans="1:14" ht="12.75">
      <c r="A127" s="169" t="s">
        <v>376</v>
      </c>
      <c r="B127" s="151"/>
      <c r="C127" s="145">
        <v>297</v>
      </c>
      <c r="D127" s="183"/>
      <c r="E127" s="196" t="s">
        <v>363</v>
      </c>
      <c r="F127" s="197"/>
      <c r="G127" s="197"/>
      <c r="H127" s="197"/>
      <c r="I127" s="197"/>
      <c r="J127" s="197"/>
      <c r="K127" s="197"/>
      <c r="L127" s="197"/>
      <c r="M127" s="197"/>
      <c r="N127" s="198"/>
    </row>
    <row r="128" spans="1:14" ht="12.75">
      <c r="A128" s="169" t="s">
        <v>377</v>
      </c>
      <c r="B128" s="151"/>
      <c r="C128" s="145">
        <v>0.5565110565110561</v>
      </c>
      <c r="D128" s="183"/>
      <c r="E128" s="199" t="s">
        <v>1</v>
      </c>
      <c r="F128" s="200" t="s">
        <v>1</v>
      </c>
      <c r="G128" s="200" t="s">
        <v>364</v>
      </c>
      <c r="H128" s="200"/>
      <c r="I128" s="200"/>
      <c r="J128" s="200"/>
      <c r="K128" s="200"/>
      <c r="L128" s="200" t="s">
        <v>71</v>
      </c>
      <c r="M128" s="200" t="s">
        <v>175</v>
      </c>
      <c r="N128" s="201" t="s">
        <v>176</v>
      </c>
    </row>
    <row r="129" spans="1:14" ht="12.75">
      <c r="A129" s="159" t="s">
        <v>382</v>
      </c>
      <c r="B129" s="151"/>
      <c r="C129" s="145">
        <v>0.3835517553473906</v>
      </c>
      <c r="D129" s="183"/>
      <c r="E129" s="199"/>
      <c r="F129" s="200"/>
      <c r="G129" s="200" t="s">
        <v>3</v>
      </c>
      <c r="H129" s="200" t="s">
        <v>171</v>
      </c>
      <c r="I129" s="200" t="s">
        <v>172</v>
      </c>
      <c r="J129" s="200" t="s">
        <v>177</v>
      </c>
      <c r="K129" s="200"/>
      <c r="L129" s="200"/>
      <c r="M129" s="200"/>
      <c r="N129" s="201"/>
    </row>
    <row r="130" spans="1:14" ht="12.75">
      <c r="A130" s="159" t="s">
        <v>378</v>
      </c>
      <c r="B130" s="19"/>
      <c r="C130" s="146">
        <f>C128^0.5</f>
        <v>0.7459966866622506</v>
      </c>
      <c r="D130" s="183"/>
      <c r="E130" s="199"/>
      <c r="F130" s="200"/>
      <c r="G130" s="200"/>
      <c r="H130" s="200"/>
      <c r="I130" s="200"/>
      <c r="J130" s="200" t="s">
        <v>178</v>
      </c>
      <c r="K130" s="200" t="s">
        <v>179</v>
      </c>
      <c r="L130" s="200"/>
      <c r="M130" s="200"/>
      <c r="N130" s="201"/>
    </row>
    <row r="131" spans="1:14" ht="13.5" thickBot="1">
      <c r="A131" s="159" t="s">
        <v>379</v>
      </c>
      <c r="B131" s="19"/>
      <c r="C131" s="146">
        <f>C129^0.5</f>
        <v>0.6193155539362714</v>
      </c>
      <c r="D131" s="183"/>
      <c r="E131" s="202" t="s">
        <v>361</v>
      </c>
      <c r="F131" s="203" t="s">
        <v>365</v>
      </c>
      <c r="G131" s="203">
        <v>0.09034792368125899</v>
      </c>
      <c r="H131" s="203">
        <v>0.6564900724876581</v>
      </c>
      <c r="I131" s="203">
        <v>0.038093417658945895</v>
      </c>
      <c r="J131" s="203">
        <v>0.015379669079419275</v>
      </c>
      <c r="K131" s="203">
        <v>0.16531617828309872</v>
      </c>
      <c r="L131" s="203">
        <v>2.371746333976983</v>
      </c>
      <c r="M131" s="203">
        <v>296</v>
      </c>
      <c r="N131" s="204">
        <v>0.018343871567833885</v>
      </c>
    </row>
    <row r="132" spans="1:14" ht="12.75">
      <c r="A132" s="169" t="s">
        <v>380</v>
      </c>
      <c r="B132" s="20"/>
      <c r="C132" s="146">
        <f>C130/C126^0.5</f>
        <v>0.04328711818829393</v>
      </c>
      <c r="E132" s="162"/>
      <c r="F132" s="162"/>
      <c r="G132" s="162"/>
      <c r="H132" s="162"/>
      <c r="I132" s="162"/>
      <c r="J132" s="162"/>
      <c r="K132" s="162"/>
      <c r="L132" s="162"/>
      <c r="M132" s="162"/>
      <c r="N132" s="162"/>
    </row>
    <row r="133" spans="1:12" ht="13.5" thickBot="1">
      <c r="A133" s="159" t="s">
        <v>381</v>
      </c>
      <c r="B133" s="20"/>
      <c r="C133" s="146">
        <f>C131/C127^0.5</f>
        <v>0.035936333308710225</v>
      </c>
      <c r="E133" s="185"/>
      <c r="F133" s="185"/>
      <c r="G133" s="185"/>
      <c r="H133" s="185"/>
      <c r="I133" s="185"/>
      <c r="J133" s="185"/>
      <c r="K133" s="185"/>
      <c r="L133" s="185"/>
    </row>
    <row r="134" spans="1:13" ht="12.75">
      <c r="A134" s="169" t="s">
        <v>373</v>
      </c>
      <c r="B134" s="20"/>
      <c r="C134" s="146">
        <f>C128+C129</f>
        <v>0.9400628118584468</v>
      </c>
      <c r="D134" s="183"/>
      <c r="E134" s="187" t="s">
        <v>347</v>
      </c>
      <c r="F134" s="188"/>
      <c r="G134" s="188"/>
      <c r="H134" s="188"/>
      <c r="I134" s="188"/>
      <c r="J134" s="188"/>
      <c r="K134" s="188"/>
      <c r="L134" s="189"/>
      <c r="M134" s="184"/>
    </row>
    <row r="135" spans="1:13" ht="12.75">
      <c r="A135" s="169" t="s">
        <v>372</v>
      </c>
      <c r="B135" s="20"/>
      <c r="C135" s="146">
        <f>(C126-1)*C134</f>
        <v>278.25859231010025</v>
      </c>
      <c r="D135" s="183"/>
      <c r="E135" s="190" t="s">
        <v>345</v>
      </c>
      <c r="F135" s="191"/>
      <c r="G135" s="191"/>
      <c r="H135" s="191"/>
      <c r="I135" s="191"/>
      <c r="J135" s="191"/>
      <c r="K135" s="191"/>
      <c r="L135" s="192"/>
      <c r="M135" s="184"/>
    </row>
    <row r="136" spans="1:13" ht="15.75">
      <c r="A136" s="38" t="s">
        <v>383</v>
      </c>
      <c r="B136" s="25" t="s">
        <v>392</v>
      </c>
      <c r="C136" s="208">
        <f>C120/(C120+C135)</f>
        <v>0.004337369586769889</v>
      </c>
      <c r="D136" s="183"/>
      <c r="E136" s="190" t="s">
        <v>348</v>
      </c>
      <c r="F136" s="191" t="s">
        <v>349</v>
      </c>
      <c r="G136" s="191" t="s">
        <v>350</v>
      </c>
      <c r="H136" s="191" t="s">
        <v>175</v>
      </c>
      <c r="I136" s="191" t="s">
        <v>183</v>
      </c>
      <c r="J136" s="191" t="s">
        <v>351</v>
      </c>
      <c r="K136" s="191"/>
      <c r="L136" s="192"/>
      <c r="M136" s="184"/>
    </row>
    <row r="137" spans="1:13" ht="15.75">
      <c r="A137" s="170" t="s">
        <v>391</v>
      </c>
      <c r="B137" s="165" t="s">
        <v>393</v>
      </c>
      <c r="C137" s="171">
        <f>((C120-((C140*C134/(C127-1))))/((C120+(C126-C140)*(C134/(C126-1)))))</f>
        <v>0.5617390546438168</v>
      </c>
      <c r="D137" s="183"/>
      <c r="E137" s="190"/>
      <c r="F137" s="191"/>
      <c r="G137" s="191"/>
      <c r="H137" s="191"/>
      <c r="I137" s="191"/>
      <c r="J137" s="191" t="s">
        <v>352</v>
      </c>
      <c r="K137" s="191" t="s">
        <v>353</v>
      </c>
      <c r="L137" s="192" t="s">
        <v>354</v>
      </c>
      <c r="M137" s="184"/>
    </row>
    <row r="138" spans="1:13" ht="12.75">
      <c r="A138" s="38" t="s">
        <v>396</v>
      </c>
      <c r="B138" s="25"/>
      <c r="C138" s="39">
        <f>C121/(C126-1)</f>
        <v>0.21548960763742578</v>
      </c>
      <c r="D138" s="183"/>
      <c r="E138" s="190" t="s">
        <v>445</v>
      </c>
      <c r="F138" s="191">
        <v>1</v>
      </c>
      <c r="G138" s="191">
        <v>0</v>
      </c>
      <c r="H138" s="191">
        <v>0</v>
      </c>
      <c r="I138" s="191" t="s">
        <v>355</v>
      </c>
      <c r="J138" s="191">
        <v>1</v>
      </c>
      <c r="K138" s="191">
        <v>1</v>
      </c>
      <c r="L138" s="192">
        <v>1</v>
      </c>
      <c r="M138" s="184"/>
    </row>
    <row r="139" spans="1:13" ht="12.75">
      <c r="A139" s="38" t="s">
        <v>394</v>
      </c>
      <c r="B139" s="25"/>
      <c r="C139" s="128">
        <f>C135/(C126-1)</f>
        <v>0.9400628118584468</v>
      </c>
      <c r="D139" s="183"/>
      <c r="E139" s="190" t="s">
        <v>356</v>
      </c>
      <c r="F139" s="191"/>
      <c r="G139" s="191"/>
      <c r="H139" s="191"/>
      <c r="I139" s="191"/>
      <c r="J139" s="191"/>
      <c r="K139" s="191"/>
      <c r="L139" s="192"/>
      <c r="M139" s="184"/>
    </row>
    <row r="140" spans="1:13" ht="12.75">
      <c r="A140" s="38" t="s">
        <v>395</v>
      </c>
      <c r="B140" s="151"/>
      <c r="C140" s="145">
        <v>1</v>
      </c>
      <c r="D140" s="183"/>
      <c r="E140" s="190" t="s">
        <v>185</v>
      </c>
      <c r="F140" s="191" t="s">
        <v>357</v>
      </c>
      <c r="G140" s="191"/>
      <c r="H140" s="191"/>
      <c r="I140" s="191"/>
      <c r="J140" s="191"/>
      <c r="K140" s="191"/>
      <c r="L140" s="192"/>
      <c r="M140" s="184"/>
    </row>
    <row r="141" spans="1:13" ht="13.5" thickBot="1">
      <c r="A141" s="105" t="s">
        <v>323</v>
      </c>
      <c r="B141" s="157"/>
      <c r="C141" s="158">
        <f>((C120-(C140*C138))/((C120+(C126-C140)*C138)))</f>
        <v>0.015334199427302882</v>
      </c>
      <c r="D141" s="183"/>
      <c r="E141" s="193" t="s">
        <v>201</v>
      </c>
      <c r="F141" s="194" t="s">
        <v>446</v>
      </c>
      <c r="G141" s="194"/>
      <c r="H141" s="194"/>
      <c r="I141" s="194"/>
      <c r="J141" s="194"/>
      <c r="K141" s="194"/>
      <c r="L141" s="195"/>
      <c r="M141" s="184"/>
    </row>
    <row r="142" spans="1:13" ht="12.75">
      <c r="A142" s="109"/>
      <c r="B142" s="102"/>
      <c r="C142" s="102"/>
      <c r="D142" s="183"/>
      <c r="E142" s="209"/>
      <c r="F142" s="210"/>
      <c r="G142" s="210"/>
      <c r="H142" s="210"/>
      <c r="I142" s="210"/>
      <c r="J142" s="210"/>
      <c r="K142" s="210"/>
      <c r="L142" s="211"/>
      <c r="M142" s="216"/>
    </row>
    <row r="143" spans="1:13" ht="12.75">
      <c r="A143" s="109" t="s">
        <v>476</v>
      </c>
      <c r="B143" s="102"/>
      <c r="C143" s="102"/>
      <c r="D143" s="183"/>
      <c r="E143" s="209"/>
      <c r="F143" s="210"/>
      <c r="G143" s="210"/>
      <c r="H143" s="210"/>
      <c r="I143" s="210"/>
      <c r="J143" s="210"/>
      <c r="K143" s="210"/>
      <c r="L143" s="211"/>
      <c r="M143" s="216"/>
    </row>
    <row r="144" spans="1:13" ht="12.75">
      <c r="A144" s="109" t="s">
        <v>477</v>
      </c>
      <c r="B144" s="102"/>
      <c r="C144" s="102">
        <f>C126*C136</f>
        <v>1.2881987672706572</v>
      </c>
      <c r="D144" s="183"/>
      <c r="E144" s="209"/>
      <c r="F144" s="210"/>
      <c r="G144" s="210"/>
      <c r="H144" s="210"/>
      <c r="I144" s="210"/>
      <c r="J144" s="210"/>
      <c r="K144" s="210"/>
      <c r="L144" s="211"/>
      <c r="M144" s="216"/>
    </row>
    <row r="145" spans="1:13" ht="12.75">
      <c r="A145" s="109" t="s">
        <v>478</v>
      </c>
      <c r="B145" s="102"/>
      <c r="C145" s="102"/>
      <c r="D145" s="183"/>
      <c r="E145" s="209"/>
      <c r="F145" s="210"/>
      <c r="G145" s="210"/>
      <c r="H145" s="210"/>
      <c r="I145" s="210"/>
      <c r="J145" s="210"/>
      <c r="K145" s="210"/>
      <c r="L145" s="211"/>
      <c r="M145" s="216"/>
    </row>
    <row r="146" spans="1:13" ht="12.75">
      <c r="A146" s="109" t="s">
        <v>479</v>
      </c>
      <c r="B146" s="102"/>
      <c r="C146" s="102"/>
      <c r="D146" s="183"/>
      <c r="E146" s="209"/>
      <c r="F146" s="210"/>
      <c r="G146" s="210"/>
      <c r="H146" s="210"/>
      <c r="I146" s="210"/>
      <c r="J146" s="210"/>
      <c r="K146" s="210"/>
      <c r="L146" s="211"/>
      <c r="M146" s="216"/>
    </row>
    <row r="147" spans="1:13" ht="12.75">
      <c r="A147" s="109"/>
      <c r="B147" s="102"/>
      <c r="C147" s="102"/>
      <c r="D147" s="183"/>
      <c r="E147" s="209"/>
      <c r="F147" s="210"/>
      <c r="G147" s="210"/>
      <c r="H147" s="210"/>
      <c r="I147" s="210"/>
      <c r="J147" s="210"/>
      <c r="K147" s="210"/>
      <c r="L147" s="211"/>
      <c r="M147" s="216"/>
    </row>
    <row r="148" spans="1:14" ht="13.5" thickBot="1">
      <c r="A148" s="16"/>
      <c r="B148" s="17"/>
      <c r="C148" s="17"/>
      <c r="E148" s="186"/>
      <c r="F148" s="186"/>
      <c r="G148" s="186"/>
      <c r="H148" s="186"/>
      <c r="I148" s="186"/>
      <c r="J148" s="186"/>
      <c r="K148" s="186"/>
      <c r="L148" s="186"/>
      <c r="M148" s="185"/>
      <c r="N148" s="185"/>
    </row>
    <row r="149" spans="1:14" ht="13.5" thickBot="1">
      <c r="A149" s="178" t="s">
        <v>431</v>
      </c>
      <c r="B149" s="17"/>
      <c r="C149" s="17"/>
      <c r="D149" s="183"/>
      <c r="E149" s="187" t="s">
        <v>366</v>
      </c>
      <c r="F149" s="188"/>
      <c r="G149" s="188"/>
      <c r="H149" s="188"/>
      <c r="I149" s="188"/>
      <c r="J149" s="188"/>
      <c r="K149" s="188"/>
      <c r="L149" s="188"/>
      <c r="M149" s="188"/>
      <c r="N149" s="189"/>
    </row>
    <row r="150" spans="1:14" ht="12.75">
      <c r="A150" s="57" t="s">
        <v>278</v>
      </c>
      <c r="B150" s="58" t="s">
        <v>276</v>
      </c>
      <c r="C150" s="59">
        <f>C156*(C154)</f>
        <v>113.751</v>
      </c>
      <c r="D150" s="183"/>
      <c r="E150" s="190" t="s">
        <v>345</v>
      </c>
      <c r="F150" s="191"/>
      <c r="G150" s="191"/>
      <c r="H150" s="191"/>
      <c r="I150" s="191"/>
      <c r="J150" s="191"/>
      <c r="K150" s="191"/>
      <c r="L150" s="191"/>
      <c r="M150" s="191"/>
      <c r="N150" s="192"/>
    </row>
    <row r="151" spans="1:14" ht="12.75">
      <c r="A151" s="60" t="s">
        <v>279</v>
      </c>
      <c r="B151" s="50" t="s">
        <v>277</v>
      </c>
      <c r="C151" s="64">
        <f>C157*(C155)</f>
        <v>165.132</v>
      </c>
      <c r="D151" s="183"/>
      <c r="E151" s="190" t="s">
        <v>188</v>
      </c>
      <c r="F151" s="191" t="s">
        <v>1</v>
      </c>
      <c r="G151" s="191" t="s">
        <v>189</v>
      </c>
      <c r="H151" s="191" t="s">
        <v>175</v>
      </c>
      <c r="I151" s="191" t="s">
        <v>190</v>
      </c>
      <c r="J151" s="191" t="s">
        <v>173</v>
      </c>
      <c r="K151" s="191" t="s">
        <v>183</v>
      </c>
      <c r="L151" s="191" t="s">
        <v>191</v>
      </c>
      <c r="M151" s="191" t="s">
        <v>192</v>
      </c>
      <c r="N151" s="192" t="s">
        <v>193</v>
      </c>
    </row>
    <row r="152" spans="1:14" ht="12.75">
      <c r="A152" s="60" t="s">
        <v>113</v>
      </c>
      <c r="B152" s="179" t="s">
        <v>284</v>
      </c>
      <c r="C152" s="180">
        <v>0.3211</v>
      </c>
      <c r="D152" s="183"/>
      <c r="E152" s="190" t="s">
        <v>445</v>
      </c>
      <c r="F152" s="191" t="s">
        <v>367</v>
      </c>
      <c r="G152" s="191">
        <v>1.2121679760566353</v>
      </c>
      <c r="H152" s="191">
        <v>1</v>
      </c>
      <c r="I152" s="191">
        <v>1.2121679760566353</v>
      </c>
      <c r="J152" s="191">
        <v>5.6251806727319345</v>
      </c>
      <c r="K152" s="191">
        <v>0.018343871567847555</v>
      </c>
      <c r="L152" s="191">
        <v>0.01864957249320422</v>
      </c>
      <c r="M152" s="191">
        <v>5.6251806727319345</v>
      </c>
      <c r="N152" s="192">
        <v>0.6569312793623344</v>
      </c>
    </row>
    <row r="153" spans="1:14" ht="12.75">
      <c r="A153" s="60" t="s">
        <v>98</v>
      </c>
      <c r="B153" s="51" t="s">
        <v>2</v>
      </c>
      <c r="C153" s="61">
        <v>1100</v>
      </c>
      <c r="D153" s="183"/>
      <c r="E153" s="190"/>
      <c r="F153" s="191" t="s">
        <v>352</v>
      </c>
      <c r="G153" s="191">
        <v>1.2121679760566353</v>
      </c>
      <c r="H153" s="191">
        <v>1</v>
      </c>
      <c r="I153" s="191">
        <v>1.2121679760566353</v>
      </c>
      <c r="J153" s="191">
        <v>5.6251806727319345</v>
      </c>
      <c r="K153" s="191">
        <v>0.018343871567847555</v>
      </c>
      <c r="L153" s="191">
        <v>0.01864957249320422</v>
      </c>
      <c r="M153" s="191">
        <v>5.6251806727319345</v>
      </c>
      <c r="N153" s="192">
        <v>0.6569312793623344</v>
      </c>
    </row>
    <row r="154" spans="1:14" ht="14.25">
      <c r="A154" s="60" t="s">
        <v>114</v>
      </c>
      <c r="B154" s="51" t="s">
        <v>424</v>
      </c>
      <c r="C154" s="61">
        <v>297</v>
      </c>
      <c r="D154" s="183"/>
      <c r="E154" s="190"/>
      <c r="F154" s="191" t="s">
        <v>353</v>
      </c>
      <c r="G154" s="191">
        <v>1.2121679760566353</v>
      </c>
      <c r="H154" s="191">
        <v>1</v>
      </c>
      <c r="I154" s="191">
        <v>1.2121679760566353</v>
      </c>
      <c r="J154" s="191">
        <v>5.6251806727319345</v>
      </c>
      <c r="K154" s="191">
        <v>0.018343871567847555</v>
      </c>
      <c r="L154" s="191">
        <v>0.01864957249320422</v>
      </c>
      <c r="M154" s="191">
        <v>5.6251806727319345</v>
      </c>
      <c r="N154" s="192">
        <v>0.6569312793623344</v>
      </c>
    </row>
    <row r="155" spans="1:14" ht="14.25">
      <c r="A155" s="60" t="s">
        <v>116</v>
      </c>
      <c r="B155" s="51" t="s">
        <v>425</v>
      </c>
      <c r="C155" s="61">
        <v>297</v>
      </c>
      <c r="D155" s="183"/>
      <c r="E155" s="190"/>
      <c r="F155" s="191" t="s">
        <v>354</v>
      </c>
      <c r="G155" s="191">
        <v>1.2121679760566353</v>
      </c>
      <c r="H155" s="191">
        <v>1</v>
      </c>
      <c r="I155" s="191">
        <v>1.2121679760566353</v>
      </c>
      <c r="J155" s="191">
        <v>5.6251806727319345</v>
      </c>
      <c r="K155" s="191">
        <v>0.018343871567847555</v>
      </c>
      <c r="L155" s="191">
        <v>0.01864957249320422</v>
      </c>
      <c r="M155" s="191">
        <v>5.6251806727319345</v>
      </c>
      <c r="N155" s="192">
        <v>0.6569312793623344</v>
      </c>
    </row>
    <row r="156" spans="1:14" ht="15.75">
      <c r="A156" s="60" t="s">
        <v>118</v>
      </c>
      <c r="B156" s="51" t="s">
        <v>426</v>
      </c>
      <c r="C156" s="61">
        <v>0.383</v>
      </c>
      <c r="D156" s="183"/>
      <c r="E156" s="190" t="s">
        <v>447</v>
      </c>
      <c r="F156" s="191" t="s">
        <v>367</v>
      </c>
      <c r="G156" s="191">
        <v>63.78492386067803</v>
      </c>
      <c r="H156" s="191">
        <v>296</v>
      </c>
      <c r="I156" s="191">
        <v>0.21548960763742578</v>
      </c>
      <c r="J156" s="191"/>
      <c r="K156" s="191"/>
      <c r="L156" s="191"/>
      <c r="M156" s="191"/>
      <c r="N156" s="192"/>
    </row>
    <row r="157" spans="1:14" ht="15.75">
      <c r="A157" s="60" t="s">
        <v>119</v>
      </c>
      <c r="B157" s="51" t="s">
        <v>427</v>
      </c>
      <c r="C157" s="61">
        <v>0.556</v>
      </c>
      <c r="D157" s="183"/>
      <c r="E157" s="190"/>
      <c r="F157" s="191" t="s">
        <v>352</v>
      </c>
      <c r="G157" s="191">
        <v>63.78492386067803</v>
      </c>
      <c r="H157" s="191">
        <v>296</v>
      </c>
      <c r="I157" s="191">
        <v>0.21548960763742578</v>
      </c>
      <c r="J157" s="191"/>
      <c r="K157" s="191"/>
      <c r="L157" s="191"/>
      <c r="M157" s="191"/>
      <c r="N157" s="192"/>
    </row>
    <row r="158" spans="1:14" ht="12.75">
      <c r="A158" s="181" t="s">
        <v>378</v>
      </c>
      <c r="B158" s="182"/>
      <c r="C158" s="63">
        <f>C156^0.5</f>
        <v>0.618869937870632</v>
      </c>
      <c r="D158" s="183"/>
      <c r="E158" s="190"/>
      <c r="F158" s="191" t="s">
        <v>353</v>
      </c>
      <c r="G158" s="191">
        <v>63.78492386067803</v>
      </c>
      <c r="H158" s="191">
        <v>296</v>
      </c>
      <c r="I158" s="191">
        <v>0.21548960763742578</v>
      </c>
      <c r="J158" s="191"/>
      <c r="K158" s="191"/>
      <c r="L158" s="191"/>
      <c r="M158" s="191"/>
      <c r="N158" s="192"/>
    </row>
    <row r="159" spans="1:14" ht="12.75">
      <c r="A159" s="181" t="s">
        <v>379</v>
      </c>
      <c r="B159" s="182"/>
      <c r="C159" s="63">
        <f>C157^0.5</f>
        <v>0.74565407529229</v>
      </c>
      <c r="D159" s="183"/>
      <c r="E159" s="190"/>
      <c r="F159" s="191" t="s">
        <v>354</v>
      </c>
      <c r="G159" s="191">
        <v>63.78492386067803</v>
      </c>
      <c r="H159" s="191">
        <v>296</v>
      </c>
      <c r="I159" s="191">
        <v>0.21548960763742578</v>
      </c>
      <c r="J159" s="191"/>
      <c r="K159" s="191"/>
      <c r="L159" s="191"/>
      <c r="M159" s="191"/>
      <c r="N159" s="192"/>
    </row>
    <row r="160" spans="1:14" ht="13.5" thickBot="1">
      <c r="A160" s="60" t="s">
        <v>120</v>
      </c>
      <c r="B160" s="179" t="s">
        <v>282</v>
      </c>
      <c r="C160" s="180">
        <v>0.04</v>
      </c>
      <c r="D160" s="183"/>
      <c r="E160" s="193" t="s">
        <v>185</v>
      </c>
      <c r="F160" s="194" t="s">
        <v>200</v>
      </c>
      <c r="G160" s="194"/>
      <c r="H160" s="194"/>
      <c r="I160" s="194"/>
      <c r="J160" s="194"/>
      <c r="K160" s="194"/>
      <c r="L160" s="194"/>
      <c r="M160" s="194"/>
      <c r="N160" s="195"/>
    </row>
    <row r="161" spans="1:14" ht="12.75">
      <c r="A161" s="60" t="s">
        <v>474</v>
      </c>
      <c r="B161" s="213" t="s">
        <v>475</v>
      </c>
      <c r="C161" s="214">
        <v>0.0403</v>
      </c>
      <c r="D161" s="183"/>
      <c r="E161" s="209"/>
      <c r="F161" s="210"/>
      <c r="G161" s="210"/>
      <c r="H161" s="210"/>
      <c r="I161" s="210"/>
      <c r="J161" s="210"/>
      <c r="K161" s="210"/>
      <c r="L161" s="210"/>
      <c r="M161" s="210"/>
      <c r="N161" s="211"/>
    </row>
    <row r="162" spans="1:14" ht="14.25">
      <c r="A162" s="60" t="s">
        <v>121</v>
      </c>
      <c r="B162" s="50" t="s">
        <v>428</v>
      </c>
      <c r="C162" s="64">
        <f>((C153-C154)/(C153-1))^0.5</f>
        <v>0.8547890033326239</v>
      </c>
      <c r="E162" s="162"/>
      <c r="F162" s="162"/>
      <c r="G162" s="162"/>
      <c r="H162" s="162"/>
      <c r="I162" s="162"/>
      <c r="J162" s="162"/>
      <c r="K162" s="162">
        <f>M152/H156</f>
        <v>0.01900398875922951</v>
      </c>
      <c r="L162" s="162"/>
      <c r="M162" s="162"/>
      <c r="N162" s="162"/>
    </row>
    <row r="163" spans="1:14" ht="13.5" thickBot="1">
      <c r="A163" s="60" t="s">
        <v>122</v>
      </c>
      <c r="B163" s="50" t="s">
        <v>123</v>
      </c>
      <c r="C163" s="64">
        <f>((C153-C155)/(C153-1))^0.5</f>
        <v>0.8547890033326239</v>
      </c>
      <c r="E163" s="185"/>
      <c r="F163" s="185"/>
      <c r="G163" s="185"/>
      <c r="H163" s="185"/>
      <c r="I163" s="185"/>
      <c r="J163" s="185"/>
      <c r="K163" s="185"/>
      <c r="L163" s="185"/>
      <c r="M163" s="185"/>
      <c r="N163" s="185"/>
    </row>
    <row r="164" spans="1:14" ht="12.75">
      <c r="A164" s="60" t="s">
        <v>59</v>
      </c>
      <c r="B164" s="50" t="s">
        <v>60</v>
      </c>
      <c r="C164" s="64">
        <f>1-C165</f>
        <v>0.95</v>
      </c>
      <c r="D164" s="183"/>
      <c r="E164" s="187" t="s">
        <v>448</v>
      </c>
      <c r="F164" s="188"/>
      <c r="G164" s="188"/>
      <c r="H164" s="188"/>
      <c r="I164" s="188"/>
      <c r="J164" s="188"/>
      <c r="K164" s="188"/>
      <c r="L164" s="188"/>
      <c r="M164" s="188"/>
      <c r="N164" s="189"/>
    </row>
    <row r="165" spans="1:14" ht="12.75">
      <c r="A165" s="60" t="s">
        <v>61</v>
      </c>
      <c r="B165" s="51" t="s">
        <v>61</v>
      </c>
      <c r="C165" s="61">
        <v>0.05</v>
      </c>
      <c r="D165" s="183"/>
      <c r="E165" s="190" t="s">
        <v>345</v>
      </c>
      <c r="F165" s="191"/>
      <c r="G165" s="191"/>
      <c r="H165" s="191"/>
      <c r="I165" s="191"/>
      <c r="J165" s="191"/>
      <c r="K165" s="191"/>
      <c r="L165" s="191"/>
      <c r="M165" s="191"/>
      <c r="N165" s="192"/>
    </row>
    <row r="166" spans="1:14" ht="12.75">
      <c r="A166" s="60" t="s">
        <v>62</v>
      </c>
      <c r="B166" s="50" t="s">
        <v>83</v>
      </c>
      <c r="C166" s="64">
        <f>1-(C165/2)</f>
        <v>0.975</v>
      </c>
      <c r="D166" s="183"/>
      <c r="E166" s="190" t="s">
        <v>188</v>
      </c>
      <c r="F166" s="191" t="s">
        <v>445</v>
      </c>
      <c r="G166" s="191" t="s">
        <v>189</v>
      </c>
      <c r="H166" s="191" t="s">
        <v>175</v>
      </c>
      <c r="I166" s="191" t="s">
        <v>190</v>
      </c>
      <c r="J166" s="191" t="s">
        <v>173</v>
      </c>
      <c r="K166" s="191" t="s">
        <v>183</v>
      </c>
      <c r="L166" s="191" t="s">
        <v>191</v>
      </c>
      <c r="M166" s="191" t="s">
        <v>192</v>
      </c>
      <c r="N166" s="192" t="s">
        <v>193</v>
      </c>
    </row>
    <row r="167" spans="1:14" ht="12.75">
      <c r="A167" s="60" t="s">
        <v>111</v>
      </c>
      <c r="B167" s="50" t="s">
        <v>71</v>
      </c>
      <c r="C167" s="64">
        <f>TINV(C165,C168)</f>
        <v>1.9680106640474033</v>
      </c>
      <c r="D167" s="183"/>
      <c r="E167" s="190" t="s">
        <v>445</v>
      </c>
      <c r="F167" s="191" t="s">
        <v>449</v>
      </c>
      <c r="G167" s="191">
        <v>1.2121679760566622</v>
      </c>
      <c r="H167" s="191">
        <v>1</v>
      </c>
      <c r="I167" s="191">
        <v>1.2121679760566622</v>
      </c>
      <c r="J167" s="191">
        <v>5.62518067273206</v>
      </c>
      <c r="K167" s="191">
        <v>0.01834387156784617</v>
      </c>
      <c r="L167" s="191">
        <v>0.018649572493204626</v>
      </c>
      <c r="M167" s="191">
        <v>5.62518067273206</v>
      </c>
      <c r="N167" s="192">
        <v>0.6569312793623441</v>
      </c>
    </row>
    <row r="168" spans="1:14" ht="12.75">
      <c r="A168" s="60" t="s">
        <v>112</v>
      </c>
      <c r="B168" s="50" t="s">
        <v>73</v>
      </c>
      <c r="C168" s="64">
        <f>C154-1</f>
        <v>296</v>
      </c>
      <c r="D168" s="183"/>
      <c r="E168" s="190" t="s">
        <v>447</v>
      </c>
      <c r="F168" s="191" t="s">
        <v>449</v>
      </c>
      <c r="G168" s="191">
        <v>63.78492386067802</v>
      </c>
      <c r="H168" s="191">
        <v>296</v>
      </c>
      <c r="I168" s="191">
        <v>0.21548960763742575</v>
      </c>
      <c r="J168" s="191"/>
      <c r="K168" s="191"/>
      <c r="L168" s="191"/>
      <c r="M168" s="191"/>
      <c r="N168" s="192"/>
    </row>
    <row r="169" spans="1:14" ht="15" thickBot="1">
      <c r="A169" s="60" t="s">
        <v>82</v>
      </c>
      <c r="B169" s="51" t="s">
        <v>429</v>
      </c>
      <c r="C169" s="61">
        <v>4.273</v>
      </c>
      <c r="D169" s="183"/>
      <c r="E169" s="193" t="s">
        <v>185</v>
      </c>
      <c r="F169" s="194" t="s">
        <v>200</v>
      </c>
      <c r="G169" s="194"/>
      <c r="H169" s="194"/>
      <c r="I169" s="194"/>
      <c r="J169" s="194"/>
      <c r="K169" s="194"/>
      <c r="L169" s="194"/>
      <c r="M169" s="194"/>
      <c r="N169" s="195"/>
    </row>
    <row r="170" spans="1:14" ht="15" thickBot="1">
      <c r="A170" s="60" t="s">
        <v>124</v>
      </c>
      <c r="B170" s="51" t="s">
        <v>430</v>
      </c>
      <c r="C170" s="61">
        <v>4.363</v>
      </c>
      <c r="E170" s="186"/>
      <c r="F170" s="186"/>
      <c r="G170" s="186"/>
      <c r="H170" s="186"/>
      <c r="I170" s="186"/>
      <c r="J170" s="186"/>
      <c r="K170" s="186"/>
      <c r="L170" s="186"/>
      <c r="M170" s="186"/>
      <c r="N170" s="162"/>
    </row>
    <row r="171" spans="1:14" ht="12.75">
      <c r="A171" s="60" t="s">
        <v>125</v>
      </c>
      <c r="B171" s="50" t="s">
        <v>108</v>
      </c>
      <c r="C171" s="64">
        <f>(C169-C170)-((C167*C161))</f>
        <v>-0.16931082976111111</v>
      </c>
      <c r="D171" s="183"/>
      <c r="E171" s="187" t="s">
        <v>187</v>
      </c>
      <c r="F171" s="188"/>
      <c r="G171" s="188"/>
      <c r="H171" s="188"/>
      <c r="I171" s="188"/>
      <c r="J171" s="188"/>
      <c r="K171" s="188"/>
      <c r="L171" s="188"/>
      <c r="M171" s="189"/>
      <c r="N171" s="184"/>
    </row>
    <row r="172" spans="1:14" ht="13.5" thickBot="1">
      <c r="A172" s="65" t="s">
        <v>126</v>
      </c>
      <c r="B172" s="66" t="s">
        <v>110</v>
      </c>
      <c r="C172" s="67">
        <f>(C169-C170)+((C167*C161))</f>
        <v>-0.010689170238890391</v>
      </c>
      <c r="D172" s="183"/>
      <c r="E172" s="190" t="s">
        <v>345</v>
      </c>
      <c r="F172" s="191"/>
      <c r="G172" s="191"/>
      <c r="H172" s="191"/>
      <c r="I172" s="191"/>
      <c r="J172" s="191"/>
      <c r="K172" s="191"/>
      <c r="L172" s="191"/>
      <c r="M172" s="192"/>
      <c r="N172" s="184"/>
    </row>
    <row r="173" spans="4:14" ht="12.75">
      <c r="D173" s="183"/>
      <c r="E173" s="190" t="s">
        <v>358</v>
      </c>
      <c r="F173" s="191"/>
      <c r="G173" s="191"/>
      <c r="H173" s="191"/>
      <c r="I173" s="191"/>
      <c r="J173" s="191"/>
      <c r="K173" s="191"/>
      <c r="L173" s="191"/>
      <c r="M173" s="192"/>
      <c r="N173" s="184"/>
    </row>
    <row r="174" spans="1:14" ht="13.5" thickBot="1">
      <c r="A174" s="206" t="s">
        <v>483</v>
      </c>
      <c r="B174" s="207"/>
      <c r="C174" s="207"/>
      <c r="D174" s="183"/>
      <c r="E174" s="190" t="s">
        <v>188</v>
      </c>
      <c r="F174" s="191" t="s">
        <v>189</v>
      </c>
      <c r="G174" s="191" t="s">
        <v>175</v>
      </c>
      <c r="H174" s="191" t="s">
        <v>190</v>
      </c>
      <c r="I174" s="191" t="s">
        <v>173</v>
      </c>
      <c r="J174" s="191" t="s">
        <v>183</v>
      </c>
      <c r="K174" s="191" t="s">
        <v>191</v>
      </c>
      <c r="L174" s="191" t="s">
        <v>192</v>
      </c>
      <c r="M174" s="192" t="s">
        <v>193</v>
      </c>
      <c r="N174" s="184"/>
    </row>
    <row r="175" spans="1:14" ht="13.5" thickBot="1">
      <c r="A175" s="133" t="s">
        <v>262</v>
      </c>
      <c r="B175" s="17"/>
      <c r="C175" s="17"/>
      <c r="D175" s="183"/>
      <c r="E175" s="190" t="s">
        <v>195</v>
      </c>
      <c r="F175" s="191">
        <v>11077.575804339684</v>
      </c>
      <c r="G175" s="191">
        <v>1</v>
      </c>
      <c r="H175" s="191">
        <v>11077.575804339684</v>
      </c>
      <c r="I175" s="191">
        <v>15288.41494524905</v>
      </c>
      <c r="J175" s="191">
        <v>7.999116030489534E-257</v>
      </c>
      <c r="K175" s="191">
        <v>0.9810066658876895</v>
      </c>
      <c r="L175" s="191">
        <v>15288.414945249051</v>
      </c>
      <c r="M175" s="192">
        <v>1</v>
      </c>
      <c r="N175" s="184"/>
    </row>
    <row r="176" spans="1:14" ht="12.75">
      <c r="A176" s="112" t="s">
        <v>96</v>
      </c>
      <c r="B176" s="134" t="s">
        <v>97</v>
      </c>
      <c r="C176" s="135">
        <f>((C177-C178)/C177)*C179/C178</f>
        <v>0.0009413804713804713</v>
      </c>
      <c r="D176" s="183"/>
      <c r="E176" s="190" t="s">
        <v>197</v>
      </c>
      <c r="F176" s="191">
        <v>214.47366844942286</v>
      </c>
      <c r="G176" s="191">
        <v>296</v>
      </c>
      <c r="H176" s="191">
        <v>0.7245732042210232</v>
      </c>
      <c r="I176" s="191"/>
      <c r="J176" s="191"/>
      <c r="K176" s="191"/>
      <c r="L176" s="191"/>
      <c r="M176" s="192"/>
      <c r="N176" s="184"/>
    </row>
    <row r="177" spans="1:14" ht="13.5" thickBot="1">
      <c r="A177" s="114" t="s">
        <v>98</v>
      </c>
      <c r="B177" s="117" t="s">
        <v>2</v>
      </c>
      <c r="C177" s="124">
        <v>1100</v>
      </c>
      <c r="D177" s="183"/>
      <c r="E177" s="193" t="s">
        <v>185</v>
      </c>
      <c r="F177" s="194" t="s">
        <v>200</v>
      </c>
      <c r="G177" s="194"/>
      <c r="H177" s="194"/>
      <c r="I177" s="194"/>
      <c r="J177" s="194"/>
      <c r="K177" s="194"/>
      <c r="L177" s="194"/>
      <c r="M177" s="195"/>
      <c r="N177" s="184"/>
    </row>
    <row r="178" spans="1:14" ht="13.5" thickBot="1">
      <c r="A178" s="114" t="s">
        <v>99</v>
      </c>
      <c r="B178" s="117" t="s">
        <v>100</v>
      </c>
      <c r="C178" s="124">
        <v>297</v>
      </c>
      <c r="E178" s="186"/>
      <c r="F178" s="186"/>
      <c r="G178" s="186"/>
      <c r="H178" s="186"/>
      <c r="I178" s="186"/>
      <c r="J178" s="186"/>
      <c r="K178" s="186"/>
      <c r="L178" s="186"/>
      <c r="M178" s="186"/>
      <c r="N178" s="185"/>
    </row>
    <row r="179" spans="1:14" ht="15.75">
      <c r="A179" s="114" t="s">
        <v>101</v>
      </c>
      <c r="B179" s="117" t="s">
        <v>263</v>
      </c>
      <c r="C179" s="124">
        <v>0.383</v>
      </c>
      <c r="D179" s="183"/>
      <c r="E179" s="187" t="s">
        <v>450</v>
      </c>
      <c r="F179" s="188"/>
      <c r="G179" s="188"/>
      <c r="H179" s="188"/>
      <c r="I179" s="188"/>
      <c r="J179" s="188"/>
      <c r="K179" s="188"/>
      <c r="L179" s="188"/>
      <c r="M179" s="188"/>
      <c r="N179" s="188"/>
    </row>
    <row r="180" spans="1:15" ht="12.75">
      <c r="A180" s="114" t="s">
        <v>102</v>
      </c>
      <c r="B180" s="116" t="s">
        <v>103</v>
      </c>
      <c r="C180" s="123">
        <f>C176^0.5</f>
        <v>0.030681924179889228</v>
      </c>
      <c r="D180" s="183"/>
      <c r="E180" s="190" t="s">
        <v>293</v>
      </c>
      <c r="F180" s="191" t="s">
        <v>451</v>
      </c>
      <c r="G180" s="191" t="s">
        <v>452</v>
      </c>
      <c r="H180" s="191" t="s">
        <v>453</v>
      </c>
      <c r="I180" s="191" t="s">
        <v>71</v>
      </c>
      <c r="J180" s="191" t="s">
        <v>183</v>
      </c>
      <c r="K180" s="191" t="s">
        <v>454</v>
      </c>
      <c r="L180" s="191"/>
      <c r="M180" s="191" t="s">
        <v>191</v>
      </c>
      <c r="N180" s="191" t="s">
        <v>192</v>
      </c>
      <c r="O180" t="s">
        <v>193</v>
      </c>
    </row>
    <row r="181" spans="1:14" ht="12.75">
      <c r="A181" s="114" t="s">
        <v>104</v>
      </c>
      <c r="B181" s="116" t="s">
        <v>105</v>
      </c>
      <c r="C181" s="123">
        <f>((C177-C178)/(C177-1))^0.5</f>
        <v>0.8547890033326239</v>
      </c>
      <c r="D181" s="183"/>
      <c r="E181" s="190"/>
      <c r="F181" s="191"/>
      <c r="G181" s="191"/>
      <c r="H181" s="191"/>
      <c r="I181" s="191"/>
      <c r="J181" s="191"/>
      <c r="K181" s="191" t="s">
        <v>455</v>
      </c>
      <c r="L181" s="191" t="s">
        <v>456</v>
      </c>
      <c r="M181" s="191"/>
      <c r="N181" s="191"/>
    </row>
    <row r="182" spans="1:15" ht="12.75">
      <c r="A182" s="114" t="s">
        <v>59</v>
      </c>
      <c r="B182" s="116" t="s">
        <v>60</v>
      </c>
      <c r="C182" s="123">
        <f>1-C183</f>
        <v>0.95</v>
      </c>
      <c r="D182" s="183"/>
      <c r="E182" s="190" t="s">
        <v>15</v>
      </c>
      <c r="F182" s="191" t="s">
        <v>195</v>
      </c>
      <c r="G182" s="191">
        <v>4.363636363636363</v>
      </c>
      <c r="H182" s="191">
        <v>0.04328711818829399</v>
      </c>
      <c r="I182" s="191">
        <v>100.80681150117331</v>
      </c>
      <c r="J182" s="191">
        <v>3.5060100948824434E-231</v>
      </c>
      <c r="K182" s="191">
        <v>4.278446850677086</v>
      </c>
      <c r="L182" s="191">
        <v>4.448825876595641</v>
      </c>
      <c r="M182" s="191">
        <v>0.9716963448922211</v>
      </c>
      <c r="N182" s="191">
        <v>100.80681150117331</v>
      </c>
      <c r="O182">
        <v>1</v>
      </c>
    </row>
    <row r="183" spans="1:15" ht="12.75">
      <c r="A183" s="114" t="s">
        <v>61</v>
      </c>
      <c r="B183" s="117" t="s">
        <v>61</v>
      </c>
      <c r="C183" s="124">
        <v>0.05</v>
      </c>
      <c r="D183" s="183"/>
      <c r="E183" s="190" t="s">
        <v>346</v>
      </c>
      <c r="F183" s="191" t="s">
        <v>195</v>
      </c>
      <c r="G183" s="191">
        <v>4.273288439955104</v>
      </c>
      <c r="H183" s="191">
        <v>0.03593633330871025</v>
      </c>
      <c r="I183" s="191">
        <v>118.91275615810655</v>
      </c>
      <c r="J183" s="191">
        <v>6.642736516881309E-252</v>
      </c>
      <c r="K183" s="191">
        <v>4.202565350494758</v>
      </c>
      <c r="L183" s="191">
        <v>4.34401152941545</v>
      </c>
      <c r="M183" s="191">
        <v>0.9794960511424741</v>
      </c>
      <c r="N183" s="191">
        <v>118.91275615810655</v>
      </c>
      <c r="O183">
        <v>1</v>
      </c>
    </row>
    <row r="184" spans="1:14" ht="13.5" thickBot="1">
      <c r="A184" s="114" t="s">
        <v>62</v>
      </c>
      <c r="B184" s="116" t="s">
        <v>83</v>
      </c>
      <c r="C184" s="123">
        <f>1-(C183/2)</f>
        <v>0.975</v>
      </c>
      <c r="D184" s="183"/>
      <c r="E184" s="193" t="s">
        <v>185</v>
      </c>
      <c r="F184" s="194" t="s">
        <v>200</v>
      </c>
      <c r="G184" s="194"/>
      <c r="H184" s="194"/>
      <c r="I184" s="194"/>
      <c r="J184" s="194"/>
      <c r="K184" s="194"/>
      <c r="L184" s="194"/>
      <c r="M184" s="194"/>
      <c r="N184" s="194"/>
    </row>
    <row r="185" spans="1:14" ht="13.5" thickBot="1">
      <c r="A185" s="114" t="s">
        <v>111</v>
      </c>
      <c r="B185" s="116" t="s">
        <v>71</v>
      </c>
      <c r="C185" s="123">
        <f>TINV(C183,C186)</f>
        <v>1.9680106640474033</v>
      </c>
      <c r="E185" s="186"/>
      <c r="F185" s="186"/>
      <c r="G185" s="186"/>
      <c r="H185" s="186"/>
      <c r="I185" s="186"/>
      <c r="J185" s="162"/>
      <c r="K185" s="162"/>
      <c r="L185" s="162"/>
      <c r="M185" s="162"/>
      <c r="N185" s="162"/>
    </row>
    <row r="186" spans="1:10" ht="12.75">
      <c r="A186" s="114" t="s">
        <v>112</v>
      </c>
      <c r="B186" s="116" t="s">
        <v>73</v>
      </c>
      <c r="C186" s="123">
        <f>C178-1</f>
        <v>296</v>
      </c>
      <c r="D186" s="183"/>
      <c r="E186" s="187" t="s">
        <v>457</v>
      </c>
      <c r="F186" s="188"/>
      <c r="G186" s="188"/>
      <c r="H186" s="188"/>
      <c r="I186" s="189"/>
      <c r="J186" s="184"/>
    </row>
    <row r="187" spans="1:10" ht="12.75">
      <c r="A187" s="114" t="s">
        <v>106</v>
      </c>
      <c r="B187" s="117" t="s">
        <v>13</v>
      </c>
      <c r="C187" s="124">
        <v>4.273</v>
      </c>
      <c r="D187" s="183"/>
      <c r="E187" s="190" t="s">
        <v>345</v>
      </c>
      <c r="F187" s="191"/>
      <c r="G187" s="191"/>
      <c r="H187" s="191"/>
      <c r="I187" s="192"/>
      <c r="J187" s="184"/>
    </row>
    <row r="188" spans="1:10" ht="12.75">
      <c r="A188" s="114" t="s">
        <v>107</v>
      </c>
      <c r="B188" s="116" t="s">
        <v>108</v>
      </c>
      <c r="C188" s="123">
        <f>C187-(C185*C180)</f>
        <v>4.212617646020484</v>
      </c>
      <c r="D188" s="183"/>
      <c r="E188" s="190" t="s">
        <v>445</v>
      </c>
      <c r="F188" s="191" t="s">
        <v>3</v>
      </c>
      <c r="G188" s="191" t="s">
        <v>453</v>
      </c>
      <c r="H188" s="191" t="s">
        <v>454</v>
      </c>
      <c r="I188" s="192"/>
      <c r="J188" s="184"/>
    </row>
    <row r="189" spans="1:10" ht="12.75">
      <c r="A189" s="114" t="s">
        <v>109</v>
      </c>
      <c r="B189" s="116" t="s">
        <v>110</v>
      </c>
      <c r="C189" s="123">
        <f>C187+C185*C180</f>
        <v>4.333382353979515</v>
      </c>
      <c r="D189" s="183"/>
      <c r="E189" s="190"/>
      <c r="F189" s="191"/>
      <c r="G189" s="191"/>
      <c r="H189" s="191" t="s">
        <v>455</v>
      </c>
      <c r="I189" s="192" t="s">
        <v>456</v>
      </c>
      <c r="J189" s="184"/>
    </row>
    <row r="190" spans="1:10" ht="12.75">
      <c r="A190" s="114" t="s">
        <v>229</v>
      </c>
      <c r="B190" s="116" t="s">
        <v>230</v>
      </c>
      <c r="C190" s="136">
        <f>C189-C188</f>
        <v>0.12076470795903127</v>
      </c>
      <c r="D190" s="183"/>
      <c r="E190" s="190">
        <v>1</v>
      </c>
      <c r="F190" s="191">
        <v>4.363636363636363</v>
      </c>
      <c r="G190" s="191">
        <v>0.04328711818829399</v>
      </c>
      <c r="H190" s="191">
        <v>4.278446850677086</v>
      </c>
      <c r="I190" s="192">
        <v>4.448825876595641</v>
      </c>
      <c r="J190" s="184"/>
    </row>
    <row r="191" spans="1:11" ht="13.5" thickBot="1">
      <c r="A191" s="114" t="s">
        <v>231</v>
      </c>
      <c r="B191" s="116" t="s">
        <v>232</v>
      </c>
      <c r="C191" s="123">
        <f>C190/C188</f>
        <v>0.02866737931298217</v>
      </c>
      <c r="D191" s="183"/>
      <c r="E191" s="193">
        <v>2</v>
      </c>
      <c r="F191" s="194">
        <v>4.273288439955104</v>
      </c>
      <c r="G191" s="194">
        <v>0.03593633330871025</v>
      </c>
      <c r="H191" s="194">
        <v>4.202565350494758</v>
      </c>
      <c r="I191" s="195">
        <v>4.34401152941545</v>
      </c>
      <c r="J191" s="184"/>
      <c r="K191">
        <f>0.92/0.05</f>
        <v>18.4</v>
      </c>
    </row>
    <row r="192" spans="1:11" ht="13.5" thickBot="1">
      <c r="A192" s="114" t="s">
        <v>233</v>
      </c>
      <c r="B192" s="116" t="s">
        <v>234</v>
      </c>
      <c r="C192" s="123">
        <f>C191*100</f>
        <v>2.8667379312982173</v>
      </c>
      <c r="E192" s="186"/>
      <c r="F192" s="186"/>
      <c r="G192" s="186"/>
      <c r="H192" s="186"/>
      <c r="I192" s="186"/>
      <c r="J192" s="185"/>
      <c r="K192" s="185"/>
    </row>
    <row r="193" spans="1:12" ht="12.75">
      <c r="A193" s="114" t="s">
        <v>260</v>
      </c>
      <c r="B193" s="116" t="s">
        <v>236</v>
      </c>
      <c r="C193" s="136">
        <f>C185*C180</f>
        <v>0.06038235397951588</v>
      </c>
      <c r="D193" s="183"/>
      <c r="E193" s="187" t="s">
        <v>458</v>
      </c>
      <c r="F193" s="188"/>
      <c r="G193" s="188"/>
      <c r="H193" s="188"/>
      <c r="I193" s="188"/>
      <c r="J193" s="188"/>
      <c r="K193" s="189"/>
      <c r="L193" s="184"/>
    </row>
    <row r="194" spans="1:12" ht="12.75">
      <c r="A194" s="114" t="s">
        <v>261</v>
      </c>
      <c r="B194" s="116" t="s">
        <v>237</v>
      </c>
      <c r="C194" s="137">
        <f>C193/C188</f>
        <v>0.014333689656491143</v>
      </c>
      <c r="D194" s="183"/>
      <c r="E194" s="190" t="s">
        <v>345</v>
      </c>
      <c r="F194" s="191"/>
      <c r="G194" s="191"/>
      <c r="H194" s="191"/>
      <c r="I194" s="191"/>
      <c r="J194" s="191"/>
      <c r="K194" s="192"/>
      <c r="L194" s="184"/>
    </row>
    <row r="195" spans="1:12" ht="12.75">
      <c r="A195" s="114" t="s">
        <v>248</v>
      </c>
      <c r="B195" s="116" t="s">
        <v>239</v>
      </c>
      <c r="C195" s="137">
        <f>C194*100</f>
        <v>1.4333689656491142</v>
      </c>
      <c r="D195" s="183"/>
      <c r="E195" s="190" t="s">
        <v>459</v>
      </c>
      <c r="F195" s="191" t="s">
        <v>460</v>
      </c>
      <c r="G195" s="191" t="s">
        <v>461</v>
      </c>
      <c r="H195" s="191" t="s">
        <v>453</v>
      </c>
      <c r="I195" s="191" t="s">
        <v>462</v>
      </c>
      <c r="J195" s="191" t="s">
        <v>463</v>
      </c>
      <c r="K195" s="192"/>
      <c r="L195" s="184"/>
    </row>
    <row r="196" spans="1:12" ht="12.75">
      <c r="A196" s="114" t="s">
        <v>240</v>
      </c>
      <c r="B196" s="117" t="s">
        <v>241</v>
      </c>
      <c r="C196" s="124">
        <v>5</v>
      </c>
      <c r="D196" s="183"/>
      <c r="E196" s="190"/>
      <c r="F196" s="191"/>
      <c r="G196" s="191"/>
      <c r="H196" s="191"/>
      <c r="I196" s="191"/>
      <c r="J196" s="191" t="s">
        <v>455</v>
      </c>
      <c r="K196" s="192" t="s">
        <v>456</v>
      </c>
      <c r="L196" s="184"/>
    </row>
    <row r="197" spans="1:12" ht="12.75">
      <c r="A197" s="114" t="s">
        <v>244</v>
      </c>
      <c r="B197" s="116" t="s">
        <v>246</v>
      </c>
      <c r="C197" s="137">
        <f>C193/C196</f>
        <v>0.012076470795903176</v>
      </c>
      <c r="D197" s="183"/>
      <c r="E197" s="190">
        <v>1</v>
      </c>
      <c r="F197" s="191">
        <v>2</v>
      </c>
      <c r="G197" s="191">
        <v>0.09034792368125899</v>
      </c>
      <c r="H197" s="191">
        <v>0.03809341765894593</v>
      </c>
      <c r="I197" s="191">
        <v>0.018343871567833885</v>
      </c>
      <c r="J197" s="191">
        <v>0.015379669079419206</v>
      </c>
      <c r="K197" s="192">
        <v>0.16531617828309877</v>
      </c>
      <c r="L197" s="184"/>
    </row>
    <row r="198" spans="1:12" ht="12.75">
      <c r="A198" s="114" t="s">
        <v>245</v>
      </c>
      <c r="B198" s="116" t="s">
        <v>247</v>
      </c>
      <c r="C198" s="137">
        <f>C197*100</f>
        <v>1.2076470795903176</v>
      </c>
      <c r="D198" s="183"/>
      <c r="E198" s="190">
        <v>2</v>
      </c>
      <c r="F198" s="191">
        <v>1</v>
      </c>
      <c r="G198" s="191">
        <v>-0.09034792368125899</v>
      </c>
      <c r="H198" s="191">
        <v>0.03809341765894593</v>
      </c>
      <c r="I198" s="191">
        <v>0.018343871567833885</v>
      </c>
      <c r="J198" s="191">
        <v>-0.16531617828309877</v>
      </c>
      <c r="K198" s="192">
        <v>-0.015379669079419206</v>
      </c>
      <c r="L198" s="184"/>
    </row>
    <row r="199" spans="1:12" ht="13.5" thickBot="1">
      <c r="A199" s="118" t="s">
        <v>242</v>
      </c>
      <c r="B199" s="138" t="s">
        <v>243</v>
      </c>
      <c r="C199" s="139">
        <f>100-C198</f>
        <v>98.79235292040968</v>
      </c>
      <c r="D199" s="183"/>
      <c r="E199" s="190" t="s">
        <v>464</v>
      </c>
      <c r="F199" s="191"/>
      <c r="G199" s="191"/>
      <c r="H199" s="191"/>
      <c r="I199" s="191"/>
      <c r="J199" s="191"/>
      <c r="K199" s="192"/>
      <c r="L199" s="184"/>
    </row>
    <row r="200" spans="4:12" ht="13.5" thickBot="1">
      <c r="D200" s="183"/>
      <c r="E200" s="193" t="s">
        <v>481</v>
      </c>
      <c r="F200" s="194" t="s">
        <v>482</v>
      </c>
      <c r="G200" s="194"/>
      <c r="H200" s="194"/>
      <c r="I200" s="194"/>
      <c r="J200" s="194"/>
      <c r="K200" s="195"/>
      <c r="L200" s="184"/>
    </row>
    <row r="201" spans="1:13" ht="13.5" thickBot="1">
      <c r="A201" s="206" t="s">
        <v>470</v>
      </c>
      <c r="B201" s="207"/>
      <c r="C201" s="207"/>
      <c r="E201" s="186" t="s">
        <v>185</v>
      </c>
      <c r="F201" s="186" t="s">
        <v>465</v>
      </c>
      <c r="G201" s="186"/>
      <c r="H201" s="186"/>
      <c r="I201" s="186"/>
      <c r="J201" s="186"/>
      <c r="K201" s="186"/>
      <c r="L201" s="185"/>
      <c r="M201" s="185"/>
    </row>
    <row r="202" spans="1:14" ht="13.5" thickBot="1">
      <c r="A202" s="133" t="s">
        <v>262</v>
      </c>
      <c r="B202" s="17"/>
      <c r="C202" s="17"/>
      <c r="D202" s="183"/>
      <c r="E202" s="187" t="s">
        <v>466</v>
      </c>
      <c r="F202" s="188"/>
      <c r="G202" s="188"/>
      <c r="H202" s="188"/>
      <c r="I202" s="188"/>
      <c r="J202" s="188"/>
      <c r="K202" s="188"/>
      <c r="L202" s="188"/>
      <c r="M202" s="189"/>
      <c r="N202" s="184"/>
    </row>
    <row r="203" spans="1:14" ht="12.75">
      <c r="A203" s="112" t="s">
        <v>96</v>
      </c>
      <c r="B203" s="134" t="s">
        <v>97</v>
      </c>
      <c r="C203" s="135">
        <f>((C204-C205)/C204)*C206/C205</f>
        <v>0.0013665993265993266</v>
      </c>
      <c r="D203" s="183"/>
      <c r="E203" s="190" t="s">
        <v>1</v>
      </c>
      <c r="F203" s="191" t="s">
        <v>285</v>
      </c>
      <c r="G203" s="191" t="s">
        <v>173</v>
      </c>
      <c r="H203" s="191" t="s">
        <v>286</v>
      </c>
      <c r="I203" s="191" t="s">
        <v>287</v>
      </c>
      <c r="J203" s="191" t="s">
        <v>183</v>
      </c>
      <c r="K203" s="191" t="s">
        <v>191</v>
      </c>
      <c r="L203" s="191" t="s">
        <v>192</v>
      </c>
      <c r="M203" s="192" t="s">
        <v>193</v>
      </c>
      <c r="N203" s="184"/>
    </row>
    <row r="204" spans="1:14" ht="12.75">
      <c r="A204" s="114" t="s">
        <v>98</v>
      </c>
      <c r="B204" s="117" t="s">
        <v>2</v>
      </c>
      <c r="C204" s="124">
        <v>1100</v>
      </c>
      <c r="D204" s="183"/>
      <c r="E204" s="190" t="s">
        <v>288</v>
      </c>
      <c r="F204" s="191">
        <v>0.01864957249320849</v>
      </c>
      <c r="G204" s="191">
        <v>5.625180672733247</v>
      </c>
      <c r="H204" s="191">
        <v>1</v>
      </c>
      <c r="I204" s="191">
        <v>296</v>
      </c>
      <c r="J204" s="191">
        <v>0.018343871567833885</v>
      </c>
      <c r="K204" s="191">
        <v>0.01864957249320849</v>
      </c>
      <c r="L204" s="191">
        <v>5.625180672733247</v>
      </c>
      <c r="M204" s="192">
        <v>0.6569312793624358</v>
      </c>
      <c r="N204" s="184"/>
    </row>
    <row r="205" spans="1:14" ht="12.75">
      <c r="A205" s="114" t="s">
        <v>99</v>
      </c>
      <c r="B205" s="117" t="s">
        <v>100</v>
      </c>
      <c r="C205" s="124">
        <v>297</v>
      </c>
      <c r="D205" s="183"/>
      <c r="E205" s="190" t="s">
        <v>289</v>
      </c>
      <c r="F205" s="191">
        <v>0.9813504275067915</v>
      </c>
      <c r="G205" s="191">
        <v>5.6251806727332605</v>
      </c>
      <c r="H205" s="191">
        <v>1</v>
      </c>
      <c r="I205" s="191">
        <v>296</v>
      </c>
      <c r="J205" s="191">
        <v>0.018343871567833885</v>
      </c>
      <c r="K205" s="191">
        <v>0.01864957249320849</v>
      </c>
      <c r="L205" s="191">
        <v>5.625180672733247</v>
      </c>
      <c r="M205" s="192">
        <v>0.6569312793624358</v>
      </c>
      <c r="N205" s="184"/>
    </row>
    <row r="206" spans="1:14" ht="15.75">
      <c r="A206" s="114" t="s">
        <v>101</v>
      </c>
      <c r="B206" s="117" t="s">
        <v>263</v>
      </c>
      <c r="C206" s="124">
        <v>0.556</v>
      </c>
      <c r="D206" s="183"/>
      <c r="E206" s="190" t="s">
        <v>290</v>
      </c>
      <c r="F206" s="191">
        <v>0.019003988759233943</v>
      </c>
      <c r="G206" s="191">
        <v>5.625180672733247</v>
      </c>
      <c r="H206" s="191">
        <v>1</v>
      </c>
      <c r="I206" s="191">
        <v>296</v>
      </c>
      <c r="J206" s="191">
        <v>0.018343871567833885</v>
      </c>
      <c r="K206" s="191">
        <v>0.01864957249320849</v>
      </c>
      <c r="L206" s="191">
        <v>5.625180672733247</v>
      </c>
      <c r="M206" s="192">
        <v>0.6569312793624358</v>
      </c>
      <c r="N206" s="184"/>
    </row>
    <row r="207" spans="1:14" ht="12.75">
      <c r="A207" s="114" t="s">
        <v>102</v>
      </c>
      <c r="B207" s="116" t="s">
        <v>103</v>
      </c>
      <c r="C207" s="123">
        <f>C203^0.5</f>
        <v>0.03696754423273646</v>
      </c>
      <c r="D207" s="183"/>
      <c r="E207" s="190" t="s">
        <v>291</v>
      </c>
      <c r="F207" s="191">
        <v>0.019003988759233943</v>
      </c>
      <c r="G207" s="191">
        <v>5.625180672733247</v>
      </c>
      <c r="H207" s="191">
        <v>1</v>
      </c>
      <c r="I207" s="191">
        <v>296</v>
      </c>
      <c r="J207" s="191">
        <v>0.018343871567833885</v>
      </c>
      <c r="K207" s="191">
        <v>0.01864957249320849</v>
      </c>
      <c r="L207" s="191">
        <v>5.625180672733247</v>
      </c>
      <c r="M207" s="192">
        <v>0.6569312793624358</v>
      </c>
      <c r="N207" s="184"/>
    </row>
    <row r="208" spans="1:14" ht="12.75">
      <c r="A208" s="114" t="s">
        <v>104</v>
      </c>
      <c r="B208" s="116" t="s">
        <v>105</v>
      </c>
      <c r="C208" s="123">
        <f>((C204-C205)/(C204-1))^0.5</f>
        <v>0.8547890033326239</v>
      </c>
      <c r="D208" s="183"/>
      <c r="E208" s="190" t="s">
        <v>467</v>
      </c>
      <c r="F208" s="191"/>
      <c r="G208" s="191"/>
      <c r="H208" s="191"/>
      <c r="I208" s="191"/>
      <c r="J208" s="191"/>
      <c r="K208" s="191"/>
      <c r="L208" s="191"/>
      <c r="M208" s="192"/>
      <c r="N208" s="184"/>
    </row>
    <row r="209" spans="1:14" ht="12.75">
      <c r="A209" s="114" t="s">
        <v>59</v>
      </c>
      <c r="B209" s="116" t="s">
        <v>60</v>
      </c>
      <c r="C209" s="123">
        <f>1-C210</f>
        <v>0.95</v>
      </c>
      <c r="D209" s="183"/>
      <c r="E209" s="190" t="s">
        <v>185</v>
      </c>
      <c r="F209" s="191" t="s">
        <v>200</v>
      </c>
      <c r="G209" s="191"/>
      <c r="H209" s="191"/>
      <c r="I209" s="191"/>
      <c r="J209" s="191"/>
      <c r="K209" s="191"/>
      <c r="L209" s="191"/>
      <c r="M209" s="192"/>
      <c r="N209" s="184"/>
    </row>
    <row r="210" spans="1:14" ht="13.5" thickBot="1">
      <c r="A210" s="114" t="s">
        <v>61</v>
      </c>
      <c r="B210" s="117" t="s">
        <v>61</v>
      </c>
      <c r="C210" s="124">
        <v>0.05</v>
      </c>
      <c r="D210" s="183"/>
      <c r="E210" s="193" t="s">
        <v>201</v>
      </c>
      <c r="F210" s="194" t="s">
        <v>292</v>
      </c>
      <c r="G210" s="194"/>
      <c r="H210" s="194"/>
      <c r="I210" s="194"/>
      <c r="J210" s="194"/>
      <c r="K210" s="194"/>
      <c r="L210" s="194"/>
      <c r="M210" s="195"/>
      <c r="N210" s="184"/>
    </row>
    <row r="211" spans="1:13" ht="12.75">
      <c r="A211" s="114" t="s">
        <v>62</v>
      </c>
      <c r="B211" s="116" t="s">
        <v>83</v>
      </c>
      <c r="C211" s="123">
        <f>1-(C210/2)</f>
        <v>0.975</v>
      </c>
      <c r="E211" s="162"/>
      <c r="F211" s="162"/>
      <c r="G211" s="162"/>
      <c r="H211" s="162"/>
      <c r="I211" s="162"/>
      <c r="J211" s="162"/>
      <c r="K211" s="162"/>
      <c r="L211" s="162"/>
      <c r="M211" s="162"/>
    </row>
    <row r="212" spans="1:3" ht="12.75">
      <c r="A212" s="114" t="s">
        <v>111</v>
      </c>
      <c r="B212" s="116" t="s">
        <v>71</v>
      </c>
      <c r="C212" s="123">
        <f>TINV(C210,C213)</f>
        <v>1.9680106640474033</v>
      </c>
    </row>
    <row r="213" spans="1:3" ht="12.75">
      <c r="A213" s="114" t="s">
        <v>112</v>
      </c>
      <c r="B213" s="116" t="s">
        <v>73</v>
      </c>
      <c r="C213" s="123">
        <f>C205-1</f>
        <v>296</v>
      </c>
    </row>
    <row r="214" spans="1:3" ht="12.75">
      <c r="A214" s="114" t="s">
        <v>106</v>
      </c>
      <c r="B214" s="117" t="s">
        <v>13</v>
      </c>
      <c r="C214" s="124">
        <v>4.363</v>
      </c>
    </row>
    <row r="215" spans="1:3" ht="12.75">
      <c r="A215" s="114" t="s">
        <v>107</v>
      </c>
      <c r="B215" s="116" t="s">
        <v>108</v>
      </c>
      <c r="C215" s="123">
        <f>C214-(C212*C207)</f>
        <v>4.290247478726331</v>
      </c>
    </row>
    <row r="216" spans="1:3" ht="12.75">
      <c r="A216" s="114" t="s">
        <v>109</v>
      </c>
      <c r="B216" s="116" t="s">
        <v>110</v>
      </c>
      <c r="C216" s="123">
        <f>C214+C212*C207</f>
        <v>4.4357525212736695</v>
      </c>
    </row>
    <row r="217" spans="1:3" ht="12.75">
      <c r="A217" s="114" t="s">
        <v>229</v>
      </c>
      <c r="B217" s="116" t="s">
        <v>230</v>
      </c>
      <c r="C217" s="136">
        <f>C216-C215</f>
        <v>0.1455050425473381</v>
      </c>
    </row>
    <row r="218" spans="1:3" ht="12.75">
      <c r="A218" s="114" t="s">
        <v>231</v>
      </c>
      <c r="B218" s="116" t="s">
        <v>232</v>
      </c>
      <c r="C218" s="123">
        <f>C217/C215</f>
        <v>0.03391530285113878</v>
      </c>
    </row>
    <row r="219" spans="1:3" ht="12.75">
      <c r="A219" s="114" t="s">
        <v>233</v>
      </c>
      <c r="B219" s="116" t="s">
        <v>234</v>
      </c>
      <c r="C219" s="123">
        <f>C218*100</f>
        <v>3.3915302851138778</v>
      </c>
    </row>
    <row r="220" spans="1:3" ht="12.75">
      <c r="A220" s="114" t="s">
        <v>260</v>
      </c>
      <c r="B220" s="116" t="s">
        <v>236</v>
      </c>
      <c r="C220" s="136">
        <f>C212*C207</f>
        <v>0.07275252127366943</v>
      </c>
    </row>
    <row r="221" spans="1:3" ht="12.75">
      <c r="A221" s="114" t="s">
        <v>261</v>
      </c>
      <c r="B221" s="116" t="s">
        <v>237</v>
      </c>
      <c r="C221" s="137">
        <f>C220/C215</f>
        <v>0.01695765142556948</v>
      </c>
    </row>
    <row r="222" spans="1:3" ht="12.75">
      <c r="A222" s="114" t="s">
        <v>248</v>
      </c>
      <c r="B222" s="116" t="s">
        <v>239</v>
      </c>
      <c r="C222" s="137">
        <f>C221*100</f>
        <v>1.695765142556948</v>
      </c>
    </row>
    <row r="223" spans="1:3" ht="12.75">
      <c r="A223" s="114" t="s">
        <v>240</v>
      </c>
      <c r="B223" s="117" t="s">
        <v>241</v>
      </c>
      <c r="C223" s="124">
        <v>5</v>
      </c>
    </row>
    <row r="224" spans="1:3" ht="12.75">
      <c r="A224" s="114" t="s">
        <v>244</v>
      </c>
      <c r="B224" s="116" t="s">
        <v>246</v>
      </c>
      <c r="C224" s="137">
        <f>C220/C223</f>
        <v>0.014550504254733887</v>
      </c>
    </row>
    <row r="225" spans="1:3" ht="12.75">
      <c r="A225" s="114" t="s">
        <v>245</v>
      </c>
      <c r="B225" s="116" t="s">
        <v>247</v>
      </c>
      <c r="C225" s="137">
        <f>C224*100</f>
        <v>1.4550504254733887</v>
      </c>
    </row>
    <row r="226" spans="1:3" ht="13.5" thickBot="1">
      <c r="A226" s="118" t="s">
        <v>242</v>
      </c>
      <c r="B226" s="138" t="s">
        <v>243</v>
      </c>
      <c r="C226" s="139">
        <f>100-C225</f>
        <v>98.54494957452661</v>
      </c>
    </row>
    <row r="229" spans="1:14" ht="26.25">
      <c r="A229" s="205" t="s">
        <v>484</v>
      </c>
      <c r="B229" s="7"/>
      <c r="C229" s="7"/>
      <c r="D229" s="7"/>
      <c r="E229" s="7"/>
      <c r="F229" s="7"/>
      <c r="G229" s="7"/>
      <c r="H229" s="7"/>
      <c r="I229" s="7"/>
      <c r="J229" s="7"/>
      <c r="K229" s="7"/>
      <c r="L229" s="7"/>
      <c r="M229" s="7"/>
      <c r="N229" s="7"/>
    </row>
    <row r="230" spans="5:10" ht="13.5" thickBot="1">
      <c r="E230" s="185"/>
      <c r="F230" s="185"/>
      <c r="G230" s="185"/>
      <c r="H230" s="185"/>
      <c r="I230" s="185"/>
      <c r="J230" s="185"/>
    </row>
    <row r="231" spans="4:11" ht="12.75">
      <c r="D231" s="183"/>
      <c r="E231" s="196" t="s">
        <v>439</v>
      </c>
      <c r="F231" s="197"/>
      <c r="G231" s="197"/>
      <c r="H231" s="197"/>
      <c r="I231" s="197"/>
      <c r="J231" s="198"/>
      <c r="K231" s="184"/>
    </row>
    <row r="232" spans="4:11" ht="13.5" thickBot="1">
      <c r="D232" s="183"/>
      <c r="E232" s="199" t="s">
        <v>1</v>
      </c>
      <c r="F232" s="200" t="s">
        <v>1</v>
      </c>
      <c r="G232" s="200" t="s">
        <v>3</v>
      </c>
      <c r="H232" s="200" t="s">
        <v>2</v>
      </c>
      <c r="I232" s="200" t="s">
        <v>171</v>
      </c>
      <c r="J232" s="201" t="s">
        <v>172</v>
      </c>
      <c r="K232" s="184" t="s">
        <v>469</v>
      </c>
    </row>
    <row r="233" spans="1:11" ht="13.5" thickBot="1">
      <c r="A233" s="168" t="s">
        <v>344</v>
      </c>
      <c r="B233" s="20"/>
      <c r="C233" s="20"/>
      <c r="D233" s="183"/>
      <c r="E233" s="199" t="s">
        <v>361</v>
      </c>
      <c r="F233" s="200" t="s">
        <v>485</v>
      </c>
      <c r="G233" s="200">
        <v>3.0088495575221237</v>
      </c>
      <c r="H233" s="200">
        <v>113</v>
      </c>
      <c r="I233" s="200">
        <v>0.8182688086664489</v>
      </c>
      <c r="J233" s="201">
        <v>0.07697625442599133</v>
      </c>
      <c r="K233" s="184">
        <f>I233^2</f>
        <v>0.6695638432364096</v>
      </c>
    </row>
    <row r="234" spans="1:11" ht="13.5" thickBot="1">
      <c r="A234" s="36" t="s">
        <v>316</v>
      </c>
      <c r="B234" s="149" t="s">
        <v>318</v>
      </c>
      <c r="C234" s="150">
        <v>1.7699115044249072</v>
      </c>
      <c r="D234" s="183"/>
      <c r="E234" s="202"/>
      <c r="F234" s="203" t="s">
        <v>14</v>
      </c>
      <c r="G234" s="203">
        <v>2.831858407079646</v>
      </c>
      <c r="H234" s="203">
        <v>113</v>
      </c>
      <c r="I234" s="203">
        <v>0.7361470557632814</v>
      </c>
      <c r="J234" s="204">
        <v>0.06925088975556624</v>
      </c>
      <c r="K234" s="184">
        <f>I234^2</f>
        <v>0.5419124877089477</v>
      </c>
    </row>
    <row r="235" spans="1:10" ht="13.5" thickBot="1">
      <c r="A235" s="38" t="s">
        <v>317</v>
      </c>
      <c r="B235" s="151" t="s">
        <v>319</v>
      </c>
      <c r="C235" s="145">
        <v>14.007866273352949</v>
      </c>
      <c r="E235" s="186"/>
      <c r="F235" s="186"/>
      <c r="G235" s="186"/>
      <c r="H235" s="186"/>
      <c r="I235" s="186"/>
      <c r="J235" s="162"/>
    </row>
    <row r="236" spans="1:10" ht="12.75">
      <c r="A236" s="38" t="s">
        <v>151</v>
      </c>
      <c r="B236" s="25" t="s">
        <v>320</v>
      </c>
      <c r="C236" s="39">
        <f>SUM(C234:C235)</f>
        <v>15.777777777777857</v>
      </c>
      <c r="D236" s="183"/>
      <c r="E236" s="196" t="s">
        <v>359</v>
      </c>
      <c r="F236" s="197"/>
      <c r="G236" s="197"/>
      <c r="H236" s="197"/>
      <c r="I236" s="198"/>
      <c r="J236" s="184"/>
    </row>
    <row r="237" spans="1:10" ht="15.75">
      <c r="A237" s="38" t="s">
        <v>191</v>
      </c>
      <c r="B237" s="25" t="s">
        <v>300</v>
      </c>
      <c r="C237" s="215">
        <f>C234/C235</f>
        <v>0.1263512564930603</v>
      </c>
      <c r="D237" s="183"/>
      <c r="E237" s="199" t="s">
        <v>1</v>
      </c>
      <c r="F237" s="200" t="s">
        <v>1</v>
      </c>
      <c r="G237" s="200" t="s">
        <v>2</v>
      </c>
      <c r="H237" s="200" t="s">
        <v>360</v>
      </c>
      <c r="I237" s="201" t="s">
        <v>174</v>
      </c>
      <c r="J237" s="184"/>
    </row>
    <row r="238" spans="1:10" ht="13.5" thickBot="1">
      <c r="A238" s="169" t="s">
        <v>374</v>
      </c>
      <c r="B238" s="151"/>
      <c r="C238" s="145">
        <v>3.0088495575221237</v>
      </c>
      <c r="D238" s="183"/>
      <c r="E238" s="202" t="s">
        <v>361</v>
      </c>
      <c r="F238" s="203" t="s">
        <v>486</v>
      </c>
      <c r="G238" s="203">
        <v>113</v>
      </c>
      <c r="H238" s="203">
        <v>0.7979663390455233</v>
      </c>
      <c r="I238" s="204">
        <v>3.6774217362085923E-26</v>
      </c>
      <c r="J238" s="184"/>
    </row>
    <row r="239" spans="1:9" ht="12.75">
      <c r="A239" s="159" t="s">
        <v>375</v>
      </c>
      <c r="B239" s="151"/>
      <c r="C239" s="145">
        <v>2.831858407079646</v>
      </c>
      <c r="E239" s="162"/>
      <c r="F239" s="162"/>
      <c r="G239" s="162"/>
      <c r="H239" s="162"/>
      <c r="I239" s="162"/>
    </row>
    <row r="240" spans="1:14" ht="13.5" thickBot="1">
      <c r="A240" s="159" t="s">
        <v>376</v>
      </c>
      <c r="B240" s="151"/>
      <c r="C240" s="145">
        <v>113</v>
      </c>
      <c r="E240" s="185"/>
      <c r="F240" s="185"/>
      <c r="G240" s="185"/>
      <c r="H240" s="185"/>
      <c r="I240" s="185"/>
      <c r="J240" s="185"/>
      <c r="K240" s="185"/>
      <c r="L240" s="185"/>
      <c r="M240" s="185"/>
      <c r="N240" s="185"/>
    </row>
    <row r="241" spans="1:14" ht="12.75">
      <c r="A241" s="169" t="s">
        <v>376</v>
      </c>
      <c r="B241" s="151"/>
      <c r="C241" s="145">
        <v>113</v>
      </c>
      <c r="D241" s="183"/>
      <c r="E241" s="196" t="s">
        <v>363</v>
      </c>
      <c r="F241" s="197"/>
      <c r="G241" s="197"/>
      <c r="H241" s="197"/>
      <c r="I241" s="197"/>
      <c r="J241" s="197"/>
      <c r="K241" s="197"/>
      <c r="L241" s="197"/>
      <c r="M241" s="197"/>
      <c r="N241" s="198"/>
    </row>
    <row r="242" spans="1:14" ht="12.75">
      <c r="A242" s="169" t="s">
        <v>377</v>
      </c>
      <c r="B242" s="151"/>
      <c r="C242" s="145">
        <v>0.6695638432364096</v>
      </c>
      <c r="D242" s="183"/>
      <c r="E242" s="199" t="s">
        <v>1</v>
      </c>
      <c r="F242" s="200" t="s">
        <v>1</v>
      </c>
      <c r="G242" s="200" t="s">
        <v>364</v>
      </c>
      <c r="H242" s="200"/>
      <c r="I242" s="200"/>
      <c r="J242" s="200"/>
      <c r="K242" s="200"/>
      <c r="L242" s="200" t="s">
        <v>71</v>
      </c>
      <c r="M242" s="200" t="s">
        <v>175</v>
      </c>
      <c r="N242" s="201" t="s">
        <v>176</v>
      </c>
    </row>
    <row r="243" spans="1:14" ht="12.75">
      <c r="A243" s="159" t="s">
        <v>382</v>
      </c>
      <c r="B243" s="151"/>
      <c r="C243" s="145">
        <v>0.5419124877089477</v>
      </c>
      <c r="D243" s="183"/>
      <c r="E243" s="199"/>
      <c r="F243" s="200"/>
      <c r="G243" s="200" t="s">
        <v>3</v>
      </c>
      <c r="H243" s="200" t="s">
        <v>171</v>
      </c>
      <c r="I243" s="200" t="s">
        <v>172</v>
      </c>
      <c r="J243" s="200" t="s">
        <v>177</v>
      </c>
      <c r="K243" s="200"/>
      <c r="L243" s="200"/>
      <c r="M243" s="200"/>
      <c r="N243" s="201"/>
    </row>
    <row r="244" spans="1:14" ht="12.75">
      <c r="A244" s="159" t="s">
        <v>378</v>
      </c>
      <c r="B244" s="19"/>
      <c r="C244" s="146">
        <f>C242^0.5</f>
        <v>0.8182688086664489</v>
      </c>
      <c r="D244" s="183"/>
      <c r="E244" s="199"/>
      <c r="F244" s="200"/>
      <c r="G244" s="200"/>
      <c r="H244" s="200"/>
      <c r="I244" s="200"/>
      <c r="J244" s="200" t="s">
        <v>178</v>
      </c>
      <c r="K244" s="200" t="s">
        <v>179</v>
      </c>
      <c r="L244" s="200"/>
      <c r="M244" s="200"/>
      <c r="N244" s="201"/>
    </row>
    <row r="245" spans="1:14" ht="13.5" thickBot="1">
      <c r="A245" s="159" t="s">
        <v>379</v>
      </c>
      <c r="B245" s="19"/>
      <c r="C245" s="146">
        <f>C243^0.5</f>
        <v>0.7361470557632814</v>
      </c>
      <c r="D245" s="183"/>
      <c r="E245" s="202" t="s">
        <v>361</v>
      </c>
      <c r="F245" s="203" t="s">
        <v>487</v>
      </c>
      <c r="G245" s="203">
        <v>0.1769911504424777</v>
      </c>
      <c r="H245" s="203">
        <v>0.5001404494409724</v>
      </c>
      <c r="I245" s="203">
        <v>0.04704925579118741</v>
      </c>
      <c r="J245" s="203">
        <v>0.08376908110693372</v>
      </c>
      <c r="K245" s="203">
        <v>0.2702132197780217</v>
      </c>
      <c r="L245" s="203">
        <v>3.761826780597646</v>
      </c>
      <c r="M245" s="203">
        <v>112</v>
      </c>
      <c r="N245" s="204">
        <v>0.0002700649847584093</v>
      </c>
    </row>
    <row r="246" spans="1:14" ht="12.75">
      <c r="A246" s="169" t="s">
        <v>380</v>
      </c>
      <c r="B246" s="20"/>
      <c r="C246" s="146">
        <f>C244/C240^0.5</f>
        <v>0.07697625442599133</v>
      </c>
      <c r="E246" s="162"/>
      <c r="F246" s="162"/>
      <c r="G246" s="162"/>
      <c r="H246" s="162"/>
      <c r="I246" s="162"/>
      <c r="J246" s="162"/>
      <c r="K246" s="162"/>
      <c r="L246" s="162"/>
      <c r="M246" s="162"/>
      <c r="N246" s="162"/>
    </row>
    <row r="247" spans="1:12" ht="13.5" thickBot="1">
      <c r="A247" s="159" t="s">
        <v>381</v>
      </c>
      <c r="B247" s="20"/>
      <c r="C247" s="146">
        <f>C245/C241^0.5</f>
        <v>0.06925088975556624</v>
      </c>
      <c r="E247" s="185"/>
      <c r="F247" s="185"/>
      <c r="G247" s="185"/>
      <c r="H247" s="185"/>
      <c r="I247" s="185"/>
      <c r="J247" s="185"/>
      <c r="K247" s="185"/>
      <c r="L247" s="185"/>
    </row>
    <row r="248" spans="1:13" ht="12.75">
      <c r="A248" s="169" t="s">
        <v>373</v>
      </c>
      <c r="B248" s="20"/>
      <c r="C248" s="146">
        <f>C242+C243</f>
        <v>1.2114763309453573</v>
      </c>
      <c r="D248" s="183"/>
      <c r="E248" s="187" t="s">
        <v>347</v>
      </c>
      <c r="F248" s="188"/>
      <c r="G248" s="188"/>
      <c r="H248" s="188"/>
      <c r="I248" s="188"/>
      <c r="J248" s="188"/>
      <c r="K248" s="188"/>
      <c r="L248" s="189"/>
      <c r="M248" s="184"/>
    </row>
    <row r="249" spans="1:13" ht="12.75">
      <c r="A249" s="169" t="s">
        <v>372</v>
      </c>
      <c r="B249" s="20"/>
      <c r="C249" s="146">
        <f>(C240-1)*C248</f>
        <v>135.68534906588002</v>
      </c>
      <c r="D249" s="183"/>
      <c r="E249" s="190" t="s">
        <v>345</v>
      </c>
      <c r="F249" s="191"/>
      <c r="G249" s="191"/>
      <c r="H249" s="191"/>
      <c r="I249" s="191"/>
      <c r="J249" s="191"/>
      <c r="K249" s="191"/>
      <c r="L249" s="192"/>
      <c r="M249" s="184"/>
    </row>
    <row r="250" spans="1:13" ht="15.75">
      <c r="A250" s="38" t="s">
        <v>383</v>
      </c>
      <c r="B250" s="25" t="s">
        <v>392</v>
      </c>
      <c r="C250" s="208">
        <f>C234/(C234+C249)</f>
        <v>0.012876273320362605</v>
      </c>
      <c r="D250" s="183"/>
      <c r="E250" s="190" t="s">
        <v>348</v>
      </c>
      <c r="F250" s="191" t="s">
        <v>349</v>
      </c>
      <c r="G250" s="191" t="s">
        <v>350</v>
      </c>
      <c r="H250" s="191" t="s">
        <v>175</v>
      </c>
      <c r="I250" s="191" t="s">
        <v>183</v>
      </c>
      <c r="J250" s="191" t="s">
        <v>351</v>
      </c>
      <c r="K250" s="191"/>
      <c r="L250" s="192"/>
      <c r="M250" s="184"/>
    </row>
    <row r="251" spans="1:13" ht="15.75">
      <c r="A251" s="170" t="s">
        <v>391</v>
      </c>
      <c r="B251" s="165" t="s">
        <v>393</v>
      </c>
      <c r="C251" s="171">
        <f>((C234-((C254*C248/(C241-1))))/((C234+(C240-C254)*(C248/(C240-1)))))</f>
        <v>0.5900254675358506</v>
      </c>
      <c r="D251" s="183"/>
      <c r="E251" s="190"/>
      <c r="F251" s="191"/>
      <c r="G251" s="191"/>
      <c r="H251" s="191"/>
      <c r="I251" s="191"/>
      <c r="J251" s="191" t="s">
        <v>352</v>
      </c>
      <c r="K251" s="191" t="s">
        <v>353</v>
      </c>
      <c r="L251" s="192" t="s">
        <v>354</v>
      </c>
      <c r="M251" s="184"/>
    </row>
    <row r="252" spans="1:13" ht="12.75">
      <c r="A252" s="38" t="s">
        <v>396</v>
      </c>
      <c r="B252" s="25"/>
      <c r="C252" s="39">
        <f>C235/(C240-1)</f>
        <v>0.12507023458350847</v>
      </c>
      <c r="D252" s="183"/>
      <c r="E252" s="190" t="s">
        <v>445</v>
      </c>
      <c r="F252" s="191">
        <v>1</v>
      </c>
      <c r="G252" s="191">
        <v>0</v>
      </c>
      <c r="H252" s="191">
        <v>0</v>
      </c>
      <c r="I252" s="191" t="s">
        <v>355</v>
      </c>
      <c r="J252" s="191">
        <v>1</v>
      </c>
      <c r="K252" s="191">
        <v>1</v>
      </c>
      <c r="L252" s="192">
        <v>1</v>
      </c>
      <c r="M252" s="184"/>
    </row>
    <row r="253" spans="1:13" ht="12.75">
      <c r="A253" s="38" t="s">
        <v>394</v>
      </c>
      <c r="B253" s="25"/>
      <c r="C253" s="128">
        <f>C249/(C240-1)</f>
        <v>1.2114763309453573</v>
      </c>
      <c r="D253" s="183"/>
      <c r="E253" s="190" t="s">
        <v>356</v>
      </c>
      <c r="F253" s="191"/>
      <c r="G253" s="191"/>
      <c r="H253" s="191"/>
      <c r="I253" s="191"/>
      <c r="J253" s="191"/>
      <c r="K253" s="191"/>
      <c r="L253" s="192"/>
      <c r="M253" s="184"/>
    </row>
    <row r="254" spans="1:13" ht="12.75">
      <c r="A254" s="38" t="s">
        <v>395</v>
      </c>
      <c r="B254" s="151"/>
      <c r="C254" s="145">
        <v>1</v>
      </c>
      <c r="D254" s="183"/>
      <c r="E254" s="190" t="s">
        <v>185</v>
      </c>
      <c r="F254" s="191" t="s">
        <v>357</v>
      </c>
      <c r="G254" s="191"/>
      <c r="H254" s="191"/>
      <c r="I254" s="191"/>
      <c r="J254" s="191"/>
      <c r="K254" s="191"/>
      <c r="L254" s="192"/>
      <c r="M254" s="184"/>
    </row>
    <row r="255" spans="1:13" ht="13.5" thickBot="1">
      <c r="A255" s="105" t="s">
        <v>323</v>
      </c>
      <c r="B255" s="157"/>
      <c r="C255" s="158">
        <f>((C234-(C254*C252))/((C234+(C240-C254)*C252)))</f>
        <v>0.10425050301811631</v>
      </c>
      <c r="D255" s="183"/>
      <c r="E255" s="193" t="s">
        <v>201</v>
      </c>
      <c r="F255" s="194" t="s">
        <v>446</v>
      </c>
      <c r="G255" s="194"/>
      <c r="H255" s="194"/>
      <c r="I255" s="194"/>
      <c r="J255" s="194"/>
      <c r="K255" s="194"/>
      <c r="L255" s="195"/>
      <c r="M255" s="184"/>
    </row>
    <row r="256" spans="1:13" ht="12.75">
      <c r="A256" s="109"/>
      <c r="B256" s="102"/>
      <c r="C256" s="102"/>
      <c r="D256" s="183"/>
      <c r="E256" s="209"/>
      <c r="F256" s="210"/>
      <c r="G256" s="210"/>
      <c r="H256" s="210"/>
      <c r="I256" s="210"/>
      <c r="J256" s="210"/>
      <c r="K256" s="210"/>
      <c r="L256" s="211"/>
      <c r="M256" s="216"/>
    </row>
    <row r="257" spans="1:13" ht="12.75">
      <c r="A257" s="109" t="s">
        <v>476</v>
      </c>
      <c r="B257" s="102"/>
      <c r="C257" s="102"/>
      <c r="D257" s="183"/>
      <c r="E257" s="209"/>
      <c r="F257" s="210"/>
      <c r="G257" s="210"/>
      <c r="H257" s="210"/>
      <c r="I257" s="210"/>
      <c r="J257" s="210"/>
      <c r="K257" s="210"/>
      <c r="L257" s="211"/>
      <c r="M257" s="216"/>
    </row>
    <row r="258" spans="1:13" ht="12.75">
      <c r="A258" s="109" t="s">
        <v>477</v>
      </c>
      <c r="B258" s="102"/>
      <c r="C258" s="102">
        <f>C240*C250</f>
        <v>1.4550188852009744</v>
      </c>
      <c r="D258" s="183"/>
      <c r="E258" s="209"/>
      <c r="F258" s="210"/>
      <c r="G258" s="210"/>
      <c r="H258" s="210"/>
      <c r="I258" s="210"/>
      <c r="J258" s="210"/>
      <c r="K258" s="210"/>
      <c r="L258" s="211"/>
      <c r="M258" s="216"/>
    </row>
    <row r="259" spans="1:13" ht="12.75">
      <c r="A259" s="109" t="s">
        <v>478</v>
      </c>
      <c r="B259" s="102"/>
      <c r="C259" s="102"/>
      <c r="D259" s="223">
        <f>C250^0.5</f>
        <v>0.11347366796029203</v>
      </c>
      <c r="E259" s="209"/>
      <c r="F259" s="210"/>
      <c r="G259" s="210"/>
      <c r="H259" s="210"/>
      <c r="I259" s="210"/>
      <c r="J259" s="210"/>
      <c r="K259" s="210"/>
      <c r="L259" s="211"/>
      <c r="M259" s="216"/>
    </row>
    <row r="260" spans="1:13" ht="12.75">
      <c r="A260" s="109" t="s">
        <v>479</v>
      </c>
      <c r="B260" s="102"/>
      <c r="C260" s="102"/>
      <c r="D260" s="183"/>
      <c r="E260" s="209"/>
      <c r="F260" s="210"/>
      <c r="G260" s="210"/>
      <c r="H260" s="210"/>
      <c r="I260" s="210"/>
      <c r="J260" s="210"/>
      <c r="K260" s="210"/>
      <c r="L260" s="211"/>
      <c r="M260" s="216"/>
    </row>
    <row r="261" spans="1:13" ht="12.75">
      <c r="A261" s="109"/>
      <c r="B261" s="221" t="s">
        <v>28</v>
      </c>
      <c r="C261" s="221">
        <f>L245*(2*(1-H238)/G238)^0.5</f>
        <v>0.2249502275149385</v>
      </c>
      <c r="D261" s="222" t="s">
        <v>524</v>
      </c>
      <c r="E261" s="209"/>
      <c r="F261" s="210"/>
      <c r="G261" s="210"/>
      <c r="H261" s="210"/>
      <c r="I261" s="210"/>
      <c r="J261" s="210"/>
      <c r="K261" s="210"/>
      <c r="L261" s="211"/>
      <c r="M261" s="216"/>
    </row>
    <row r="262" spans="1:14" ht="13.5" thickBot="1">
      <c r="A262" s="16"/>
      <c r="B262" s="17"/>
      <c r="C262" s="17"/>
      <c r="E262" s="186"/>
      <c r="F262" s="186"/>
      <c r="G262" s="186"/>
      <c r="H262" s="186"/>
      <c r="I262" s="186"/>
      <c r="J262" s="186"/>
      <c r="K262" s="186"/>
      <c r="L262" s="186"/>
      <c r="M262" s="185"/>
      <c r="N262" s="185"/>
    </row>
    <row r="263" spans="1:14" ht="13.5" thickBot="1">
      <c r="A263" s="178" t="s">
        <v>431</v>
      </c>
      <c r="B263" s="17"/>
      <c r="C263" s="17"/>
      <c r="D263" s="183"/>
      <c r="E263" s="187" t="s">
        <v>366</v>
      </c>
      <c r="F263" s="188"/>
      <c r="G263" s="188"/>
      <c r="H263" s="188"/>
      <c r="I263" s="188"/>
      <c r="J263" s="188"/>
      <c r="K263" s="188"/>
      <c r="L263" s="188"/>
      <c r="M263" s="188"/>
      <c r="N263" s="189"/>
    </row>
    <row r="264" spans="1:14" ht="12.75">
      <c r="A264" s="57" t="s">
        <v>278</v>
      </c>
      <c r="B264" s="58" t="s">
        <v>276</v>
      </c>
      <c r="C264" s="59">
        <f>C270*(C268)</f>
        <v>75.66071428571429</v>
      </c>
      <c r="D264" s="183"/>
      <c r="E264" s="190" t="s">
        <v>345</v>
      </c>
      <c r="F264" s="191"/>
      <c r="G264" s="191"/>
      <c r="H264" s="191"/>
      <c r="I264" s="191"/>
      <c r="J264" s="191"/>
      <c r="K264" s="191"/>
      <c r="L264" s="191"/>
      <c r="M264" s="191"/>
      <c r="N264" s="192"/>
    </row>
    <row r="265" spans="1:14" ht="12.75">
      <c r="A265" s="60" t="s">
        <v>279</v>
      </c>
      <c r="B265" s="50" t="s">
        <v>277</v>
      </c>
      <c r="C265" s="64">
        <f>C271*(C269)</f>
        <v>61.23611111111109</v>
      </c>
      <c r="D265" s="183"/>
      <c r="E265" s="190" t="s">
        <v>188</v>
      </c>
      <c r="F265" s="191" t="s">
        <v>1</v>
      </c>
      <c r="G265" s="191" t="s">
        <v>189</v>
      </c>
      <c r="H265" s="191" t="s">
        <v>175</v>
      </c>
      <c r="I265" s="191" t="s">
        <v>190</v>
      </c>
      <c r="J265" s="191" t="s">
        <v>173</v>
      </c>
      <c r="K265" s="191" t="s">
        <v>183</v>
      </c>
      <c r="L265" s="191" t="s">
        <v>191</v>
      </c>
      <c r="M265" s="191" t="s">
        <v>192</v>
      </c>
      <c r="N265" s="192" t="s">
        <v>193</v>
      </c>
    </row>
    <row r="266" spans="1:14" ht="12.75">
      <c r="A266" s="60" t="s">
        <v>113</v>
      </c>
      <c r="B266" s="179" t="s">
        <v>284</v>
      </c>
      <c r="C266" s="180">
        <v>0.3211</v>
      </c>
      <c r="D266" s="183"/>
      <c r="E266" s="190" t="s">
        <v>445</v>
      </c>
      <c r="F266" s="191" t="s">
        <v>367</v>
      </c>
      <c r="G266" s="191">
        <v>1.7699115044249072</v>
      </c>
      <c r="H266" s="191">
        <v>1</v>
      </c>
      <c r="I266" s="191">
        <v>1.7699115044249072</v>
      </c>
      <c r="J266" s="191">
        <v>14.151340727222754</v>
      </c>
      <c r="K266" s="191">
        <v>0.0002700649847582707</v>
      </c>
      <c r="L266" s="191">
        <v>0.11217748971707102</v>
      </c>
      <c r="M266" s="191">
        <v>14.151340727222754</v>
      </c>
      <c r="N266" s="192">
        <v>0.9615876709094366</v>
      </c>
    </row>
    <row r="267" spans="1:14" ht="12.75">
      <c r="A267" s="60" t="s">
        <v>98</v>
      </c>
      <c r="B267" s="51" t="s">
        <v>2</v>
      </c>
      <c r="C267" s="61">
        <v>43403</v>
      </c>
      <c r="D267" s="183"/>
      <c r="E267" s="190"/>
      <c r="F267" s="191" t="s">
        <v>352</v>
      </c>
      <c r="G267" s="191">
        <v>1.7699115044249072</v>
      </c>
      <c r="H267" s="191">
        <v>1</v>
      </c>
      <c r="I267" s="191">
        <v>1.7699115044249072</v>
      </c>
      <c r="J267" s="191">
        <v>14.151340727222754</v>
      </c>
      <c r="K267" s="191">
        <v>0.0002700649847582707</v>
      </c>
      <c r="L267" s="191">
        <v>0.11217748971707102</v>
      </c>
      <c r="M267" s="191">
        <v>14.151340727222754</v>
      </c>
      <c r="N267" s="192">
        <v>0.9615876709094366</v>
      </c>
    </row>
    <row r="268" spans="1:14" ht="14.25">
      <c r="A268" s="60" t="s">
        <v>114</v>
      </c>
      <c r="B268" s="51" t="s">
        <v>424</v>
      </c>
      <c r="C268" s="61">
        <v>113</v>
      </c>
      <c r="D268" s="183"/>
      <c r="E268" s="190"/>
      <c r="F268" s="191" t="s">
        <v>353</v>
      </c>
      <c r="G268" s="191">
        <v>1.7699115044249072</v>
      </c>
      <c r="H268" s="191">
        <v>1</v>
      </c>
      <c r="I268" s="191">
        <v>1.7699115044249072</v>
      </c>
      <c r="J268" s="191">
        <v>14.151340727222754</v>
      </c>
      <c r="K268" s="191">
        <v>0.0002700649847582707</v>
      </c>
      <c r="L268" s="191">
        <v>0.11217748971707102</v>
      </c>
      <c r="M268" s="191">
        <v>14.151340727222754</v>
      </c>
      <c r="N268" s="192">
        <v>0.9615876709094366</v>
      </c>
    </row>
    <row r="269" spans="1:14" ht="14.25">
      <c r="A269" s="60" t="s">
        <v>116</v>
      </c>
      <c r="B269" s="51" t="s">
        <v>425</v>
      </c>
      <c r="C269" s="61">
        <v>113</v>
      </c>
      <c r="D269" s="183"/>
      <c r="E269" s="190"/>
      <c r="F269" s="191" t="s">
        <v>354</v>
      </c>
      <c r="G269" s="191">
        <v>1.7699115044249072</v>
      </c>
      <c r="H269" s="191">
        <v>1</v>
      </c>
      <c r="I269" s="191">
        <v>1.7699115044249072</v>
      </c>
      <c r="J269" s="191">
        <v>14.151340727222754</v>
      </c>
      <c r="K269" s="191">
        <v>0.0002700649847582707</v>
      </c>
      <c r="L269" s="191">
        <v>0.11217748971707102</v>
      </c>
      <c r="M269" s="191">
        <v>14.151340727222754</v>
      </c>
      <c r="N269" s="192">
        <v>0.9615876709094366</v>
      </c>
    </row>
    <row r="270" spans="1:14" ht="15.75">
      <c r="A270" s="60" t="s">
        <v>118</v>
      </c>
      <c r="B270" s="51" t="s">
        <v>426</v>
      </c>
      <c r="C270" s="61">
        <v>0.6695638432364096</v>
      </c>
      <c r="D270" s="183"/>
      <c r="E270" s="190" t="s">
        <v>447</v>
      </c>
      <c r="F270" s="191" t="s">
        <v>367</v>
      </c>
      <c r="G270" s="191">
        <v>14.007866273352949</v>
      </c>
      <c r="H270" s="191">
        <v>112</v>
      </c>
      <c r="I270" s="191">
        <v>0.12507023458350847</v>
      </c>
      <c r="J270" s="191"/>
      <c r="K270" s="191"/>
      <c r="L270" s="191"/>
      <c r="M270" s="191"/>
      <c r="N270" s="192"/>
    </row>
    <row r="271" spans="1:14" ht="15.75">
      <c r="A271" s="60" t="s">
        <v>119</v>
      </c>
      <c r="B271" s="51" t="s">
        <v>427</v>
      </c>
      <c r="C271" s="61">
        <v>0.5419124877089477</v>
      </c>
      <c r="D271" s="183"/>
      <c r="E271" s="190"/>
      <c r="F271" s="191" t="s">
        <v>352</v>
      </c>
      <c r="G271" s="191">
        <v>14.007866273352949</v>
      </c>
      <c r="H271" s="191">
        <v>112</v>
      </c>
      <c r="I271" s="191">
        <v>0.12507023458350847</v>
      </c>
      <c r="J271" s="191"/>
      <c r="K271" s="191"/>
      <c r="L271" s="191"/>
      <c r="M271" s="191"/>
      <c r="N271" s="192"/>
    </row>
    <row r="272" spans="1:14" ht="12.75">
      <c r="A272" s="181" t="s">
        <v>378</v>
      </c>
      <c r="B272" s="182"/>
      <c r="C272" s="63">
        <f>C270^0.5</f>
        <v>0.8182688086664489</v>
      </c>
      <c r="D272" s="183"/>
      <c r="E272" s="190"/>
      <c r="F272" s="191" t="s">
        <v>353</v>
      </c>
      <c r="G272" s="191">
        <v>14.007866273352949</v>
      </c>
      <c r="H272" s="191">
        <v>112</v>
      </c>
      <c r="I272" s="191">
        <v>0.12507023458350847</v>
      </c>
      <c r="J272" s="191"/>
      <c r="K272" s="191"/>
      <c r="L272" s="191"/>
      <c r="M272" s="191"/>
      <c r="N272" s="192"/>
    </row>
    <row r="273" spans="1:14" ht="12.75">
      <c r="A273" s="181" t="s">
        <v>379</v>
      </c>
      <c r="B273" s="182"/>
      <c r="C273" s="63">
        <f>C271^0.5</f>
        <v>0.7361470557632814</v>
      </c>
      <c r="D273" s="183"/>
      <c r="E273" s="190"/>
      <c r="F273" s="191" t="s">
        <v>354</v>
      </c>
      <c r="G273" s="191">
        <v>14.007866273352949</v>
      </c>
      <c r="H273" s="191">
        <v>112</v>
      </c>
      <c r="I273" s="191">
        <v>0.12507023458350847</v>
      </c>
      <c r="J273" s="191"/>
      <c r="K273" s="191"/>
      <c r="L273" s="191"/>
      <c r="M273" s="191"/>
      <c r="N273" s="192"/>
    </row>
    <row r="274" spans="1:14" ht="13.5" thickBot="1">
      <c r="A274" s="60" t="s">
        <v>120</v>
      </c>
      <c r="B274" s="179" t="s">
        <v>282</v>
      </c>
      <c r="C274" s="180">
        <v>0.04</v>
      </c>
      <c r="D274" s="183"/>
      <c r="E274" s="193" t="s">
        <v>185</v>
      </c>
      <c r="F274" s="194" t="s">
        <v>200</v>
      </c>
      <c r="G274" s="194"/>
      <c r="H274" s="194"/>
      <c r="I274" s="194"/>
      <c r="J274" s="194"/>
      <c r="K274" s="194"/>
      <c r="L274" s="194"/>
      <c r="M274" s="194"/>
      <c r="N274" s="195"/>
    </row>
    <row r="275" spans="1:14" ht="12.75">
      <c r="A275" s="60" t="s">
        <v>474</v>
      </c>
      <c r="B275" s="213" t="s">
        <v>475</v>
      </c>
      <c r="C275" s="214">
        <v>0.0403</v>
      </c>
      <c r="D275" s="183"/>
      <c r="E275" s="209"/>
      <c r="F275" s="210"/>
      <c r="G275" s="210"/>
      <c r="H275" s="210"/>
      <c r="I275" s="210"/>
      <c r="J275" s="210"/>
      <c r="K275" s="210"/>
      <c r="L275" s="210"/>
      <c r="M275" s="210"/>
      <c r="N275" s="211"/>
    </row>
    <row r="276" spans="1:14" ht="14.25">
      <c r="A276" s="60" t="s">
        <v>121</v>
      </c>
      <c r="B276" s="50" t="s">
        <v>428</v>
      </c>
      <c r="C276" s="64">
        <f>((C267-C268)/(C267-1))^0.5</f>
        <v>0.9987089034132868</v>
      </c>
      <c r="E276" s="162"/>
      <c r="F276" s="162"/>
      <c r="G276" s="162"/>
      <c r="H276" s="162"/>
      <c r="I276" s="162"/>
      <c r="J276" s="162"/>
      <c r="K276" s="162">
        <f>M266/H270</f>
        <v>0.1263512564930603</v>
      </c>
      <c r="L276" s="162"/>
      <c r="M276" s="162"/>
      <c r="N276" s="162"/>
    </row>
    <row r="277" spans="1:14" ht="13.5" thickBot="1">
      <c r="A277" s="60" t="s">
        <v>122</v>
      </c>
      <c r="B277" s="50" t="s">
        <v>123</v>
      </c>
      <c r="C277" s="64">
        <f>((C267-C269)/(C267-1))^0.5</f>
        <v>0.9987089034132868</v>
      </c>
      <c r="E277" s="185"/>
      <c r="F277" s="185"/>
      <c r="G277" s="185"/>
      <c r="H277" s="185"/>
      <c r="I277" s="185"/>
      <c r="J277" s="185"/>
      <c r="K277" s="185"/>
      <c r="L277" s="185"/>
      <c r="M277" s="185"/>
      <c r="N277" s="185"/>
    </row>
    <row r="278" spans="1:14" ht="12.75">
      <c r="A278" s="60" t="s">
        <v>59</v>
      </c>
      <c r="B278" s="50" t="s">
        <v>60</v>
      </c>
      <c r="C278" s="64">
        <f>1-C279</f>
        <v>0.95</v>
      </c>
      <c r="D278" s="183"/>
      <c r="E278" s="187" t="s">
        <v>448</v>
      </c>
      <c r="F278" s="188"/>
      <c r="G278" s="188"/>
      <c r="H278" s="188"/>
      <c r="I278" s="188"/>
      <c r="J278" s="188"/>
      <c r="K278" s="188"/>
      <c r="L278" s="188"/>
      <c r="M278" s="188"/>
      <c r="N278" s="189"/>
    </row>
    <row r="279" spans="1:14" ht="12.75">
      <c r="A279" s="60" t="s">
        <v>61</v>
      </c>
      <c r="B279" s="51" t="s">
        <v>61</v>
      </c>
      <c r="C279" s="61">
        <v>0.05</v>
      </c>
      <c r="D279" s="183"/>
      <c r="E279" s="190" t="s">
        <v>345</v>
      </c>
      <c r="F279" s="191"/>
      <c r="G279" s="191"/>
      <c r="H279" s="191"/>
      <c r="I279" s="191"/>
      <c r="J279" s="191"/>
      <c r="K279" s="191"/>
      <c r="L279" s="191"/>
      <c r="M279" s="191"/>
      <c r="N279" s="192"/>
    </row>
    <row r="280" spans="1:14" ht="12.75">
      <c r="A280" s="60" t="s">
        <v>62</v>
      </c>
      <c r="B280" s="50" t="s">
        <v>83</v>
      </c>
      <c r="C280" s="64">
        <f>1-(C279/2)</f>
        <v>0.975</v>
      </c>
      <c r="D280" s="183"/>
      <c r="E280" s="190" t="s">
        <v>188</v>
      </c>
      <c r="F280" s="191" t="s">
        <v>445</v>
      </c>
      <c r="G280" s="191" t="s">
        <v>189</v>
      </c>
      <c r="H280" s="191" t="s">
        <v>175</v>
      </c>
      <c r="I280" s="191" t="s">
        <v>190</v>
      </c>
      <c r="J280" s="191" t="s">
        <v>173</v>
      </c>
      <c r="K280" s="191" t="s">
        <v>183</v>
      </c>
      <c r="L280" s="191" t="s">
        <v>191</v>
      </c>
      <c r="M280" s="191" t="s">
        <v>192</v>
      </c>
      <c r="N280" s="192" t="s">
        <v>193</v>
      </c>
    </row>
    <row r="281" spans="1:14" ht="12.75">
      <c r="A281" s="60" t="s">
        <v>111</v>
      </c>
      <c r="B281" s="50" t="s">
        <v>71</v>
      </c>
      <c r="C281" s="64">
        <f>TINV(C279,C282)</f>
        <v>1.9813717524461687</v>
      </c>
      <c r="D281" s="183"/>
      <c r="E281" s="190" t="s">
        <v>445</v>
      </c>
      <c r="F281" s="191" t="s">
        <v>449</v>
      </c>
      <c r="G281" s="191">
        <v>1.7699115044248401</v>
      </c>
      <c r="H281" s="191">
        <v>1</v>
      </c>
      <c r="I281" s="191">
        <v>1.7699115044248401</v>
      </c>
      <c r="J281" s="191">
        <v>14.151340727222221</v>
      </c>
      <c r="K281" s="191">
        <v>0.0002700649847583364</v>
      </c>
      <c r="L281" s="191">
        <v>0.11217748971706727</v>
      </c>
      <c r="M281" s="191">
        <v>14.151340727222221</v>
      </c>
      <c r="N281" s="192">
        <v>0.9615876709094308</v>
      </c>
    </row>
    <row r="282" spans="1:14" ht="12.75">
      <c r="A282" s="60" t="s">
        <v>112</v>
      </c>
      <c r="B282" s="50" t="s">
        <v>73</v>
      </c>
      <c r="C282" s="64">
        <f>C268-1</f>
        <v>112</v>
      </c>
      <c r="D282" s="183"/>
      <c r="E282" s="190" t="s">
        <v>447</v>
      </c>
      <c r="F282" s="191" t="s">
        <v>449</v>
      </c>
      <c r="G282" s="191">
        <v>14.007866273352946</v>
      </c>
      <c r="H282" s="191">
        <v>112</v>
      </c>
      <c r="I282" s="191">
        <v>0.12507023458350844</v>
      </c>
      <c r="J282" s="191"/>
      <c r="K282" s="191"/>
      <c r="L282" s="191"/>
      <c r="M282" s="191"/>
      <c r="N282" s="192"/>
    </row>
    <row r="283" spans="1:14" ht="15" thickBot="1">
      <c r="A283" s="60" t="s">
        <v>82</v>
      </c>
      <c r="B283" s="51" t="s">
        <v>429</v>
      </c>
      <c r="C283" s="61">
        <v>3.0088495575221237</v>
      </c>
      <c r="D283" s="183"/>
      <c r="E283" s="193" t="s">
        <v>185</v>
      </c>
      <c r="F283" s="194" t="s">
        <v>200</v>
      </c>
      <c r="G283" s="194"/>
      <c r="H283" s="194"/>
      <c r="I283" s="194"/>
      <c r="J283" s="194"/>
      <c r="K283" s="194"/>
      <c r="L283" s="194"/>
      <c r="M283" s="194"/>
      <c r="N283" s="195"/>
    </row>
    <row r="284" spans="1:14" ht="15" thickBot="1">
      <c r="A284" s="60" t="s">
        <v>124</v>
      </c>
      <c r="B284" s="51" t="s">
        <v>430</v>
      </c>
      <c r="C284" s="61">
        <v>2.831858407079646</v>
      </c>
      <c r="E284" s="186"/>
      <c r="F284" s="186"/>
      <c r="G284" s="186"/>
      <c r="H284" s="186"/>
      <c r="I284" s="186"/>
      <c r="J284" s="186"/>
      <c r="K284" s="186"/>
      <c r="L284" s="186"/>
      <c r="M284" s="186"/>
      <c r="N284" s="162"/>
    </row>
    <row r="285" spans="1:14" ht="12.75">
      <c r="A285" s="60" t="s">
        <v>125</v>
      </c>
      <c r="B285" s="50" t="s">
        <v>108</v>
      </c>
      <c r="C285" s="64">
        <f>(C283-C284)-((C281*C275))</f>
        <v>0.09714186881889711</v>
      </c>
      <c r="D285" s="183"/>
      <c r="E285" s="187" t="s">
        <v>187</v>
      </c>
      <c r="F285" s="188"/>
      <c r="G285" s="188"/>
      <c r="H285" s="188"/>
      <c r="I285" s="188"/>
      <c r="J285" s="188"/>
      <c r="K285" s="188"/>
      <c r="L285" s="188"/>
      <c r="M285" s="189"/>
      <c r="N285" s="184"/>
    </row>
    <row r="286" spans="1:14" ht="13.5" thickBot="1">
      <c r="A286" s="65" t="s">
        <v>126</v>
      </c>
      <c r="B286" s="66" t="s">
        <v>110</v>
      </c>
      <c r="C286" s="67">
        <f>(C283-C284)+((C281*C275))</f>
        <v>0.25684043206605833</v>
      </c>
      <c r="D286" s="183"/>
      <c r="E286" s="190" t="s">
        <v>345</v>
      </c>
      <c r="F286" s="191"/>
      <c r="G286" s="191"/>
      <c r="H286" s="191"/>
      <c r="I286" s="191"/>
      <c r="J286" s="191"/>
      <c r="K286" s="191"/>
      <c r="L286" s="191"/>
      <c r="M286" s="192"/>
      <c r="N286" s="184"/>
    </row>
    <row r="287" spans="4:14" ht="12.75">
      <c r="D287" s="183"/>
      <c r="E287" s="190" t="s">
        <v>358</v>
      </c>
      <c r="F287" s="191"/>
      <c r="G287" s="191"/>
      <c r="H287" s="191"/>
      <c r="I287" s="191"/>
      <c r="J287" s="191"/>
      <c r="K287" s="191"/>
      <c r="L287" s="191"/>
      <c r="M287" s="192"/>
      <c r="N287" s="184"/>
    </row>
    <row r="288" spans="1:14" ht="13.5" thickBot="1">
      <c r="A288" s="206" t="s">
        <v>488</v>
      </c>
      <c r="B288" s="207"/>
      <c r="C288" s="207"/>
      <c r="D288" s="183"/>
      <c r="E288" s="190" t="s">
        <v>188</v>
      </c>
      <c r="F288" s="191" t="s">
        <v>189</v>
      </c>
      <c r="G288" s="191" t="s">
        <v>175</v>
      </c>
      <c r="H288" s="191" t="s">
        <v>190</v>
      </c>
      <c r="I288" s="191" t="s">
        <v>173</v>
      </c>
      <c r="J288" s="191" t="s">
        <v>183</v>
      </c>
      <c r="K288" s="191" t="s">
        <v>191</v>
      </c>
      <c r="L288" s="191" t="s">
        <v>192</v>
      </c>
      <c r="M288" s="192" t="s">
        <v>193</v>
      </c>
      <c r="N288" s="184"/>
    </row>
    <row r="289" spans="1:14" ht="13.5" thickBot="1">
      <c r="A289" s="133" t="s">
        <v>262</v>
      </c>
      <c r="B289" s="17"/>
      <c r="C289" s="17"/>
      <c r="D289" s="183"/>
      <c r="E289" s="190" t="s">
        <v>195</v>
      </c>
      <c r="F289" s="191">
        <v>1927.4336283185835</v>
      </c>
      <c r="G289" s="191">
        <v>1</v>
      </c>
      <c r="H289" s="191">
        <v>1927.4336283185835</v>
      </c>
      <c r="I289" s="191">
        <v>1774.1373458536018</v>
      </c>
      <c r="J289" s="191">
        <v>1.6350016397876805E-70</v>
      </c>
      <c r="K289" s="191">
        <v>0.9406193826519497</v>
      </c>
      <c r="L289" s="191">
        <v>1774.137345853602</v>
      </c>
      <c r="M289" s="192">
        <v>1</v>
      </c>
      <c r="N289" s="184"/>
    </row>
    <row r="290" spans="1:14" ht="12.75">
      <c r="A290" s="112" t="s">
        <v>96</v>
      </c>
      <c r="B290" s="134" t="s">
        <v>97</v>
      </c>
      <c r="C290" s="135">
        <f>((C291-C292)/C291)*C293/C292</f>
        <v>0.004775146043287657</v>
      </c>
      <c r="D290" s="183"/>
      <c r="E290" s="190" t="s">
        <v>197</v>
      </c>
      <c r="F290" s="191">
        <v>121.6774827925271</v>
      </c>
      <c r="G290" s="191">
        <v>112</v>
      </c>
      <c r="H290" s="191">
        <v>1.0864060963618491</v>
      </c>
      <c r="I290" s="191"/>
      <c r="J290" s="191"/>
      <c r="K290" s="191"/>
      <c r="L290" s="191"/>
      <c r="M290" s="192"/>
      <c r="N290" s="184"/>
    </row>
    <row r="291" spans="1:14" ht="13.5" thickBot="1">
      <c r="A291" s="114" t="s">
        <v>98</v>
      </c>
      <c r="B291" s="117" t="s">
        <v>2</v>
      </c>
      <c r="C291" s="124">
        <v>43403</v>
      </c>
      <c r="D291" s="183"/>
      <c r="E291" s="193" t="s">
        <v>185</v>
      </c>
      <c r="F291" s="194" t="s">
        <v>200</v>
      </c>
      <c r="G291" s="194"/>
      <c r="H291" s="194"/>
      <c r="I291" s="194"/>
      <c r="J291" s="194"/>
      <c r="K291" s="194"/>
      <c r="L291" s="194"/>
      <c r="M291" s="195"/>
      <c r="N291" s="184"/>
    </row>
    <row r="292" spans="1:14" ht="13.5" thickBot="1">
      <c r="A292" s="114" t="s">
        <v>99</v>
      </c>
      <c r="B292" s="117" t="s">
        <v>100</v>
      </c>
      <c r="C292" s="124">
        <v>113</v>
      </c>
      <c r="E292" s="186"/>
      <c r="F292" s="186"/>
      <c r="G292" s="186"/>
      <c r="H292" s="186"/>
      <c r="I292" s="186"/>
      <c r="J292" s="186"/>
      <c r="K292" s="186"/>
      <c r="L292" s="186"/>
      <c r="M292" s="186"/>
      <c r="N292" s="185"/>
    </row>
    <row r="293" spans="1:14" ht="15.75">
      <c r="A293" s="114" t="s">
        <v>101</v>
      </c>
      <c r="B293" s="117" t="s">
        <v>263</v>
      </c>
      <c r="C293" s="124">
        <v>0.541</v>
      </c>
      <c r="D293" s="183"/>
      <c r="E293" s="187" t="s">
        <v>450</v>
      </c>
      <c r="F293" s="188"/>
      <c r="G293" s="188"/>
      <c r="H293" s="188"/>
      <c r="I293" s="188"/>
      <c r="J293" s="188"/>
      <c r="K293" s="188"/>
      <c r="L293" s="188"/>
      <c r="M293" s="188"/>
      <c r="N293" s="188"/>
    </row>
    <row r="294" spans="1:15" ht="12.75">
      <c r="A294" s="114" t="s">
        <v>102</v>
      </c>
      <c r="B294" s="116" t="s">
        <v>103</v>
      </c>
      <c r="C294" s="123">
        <f>C290^0.5</f>
        <v>0.06910243152948858</v>
      </c>
      <c r="D294" s="183"/>
      <c r="E294" s="190" t="s">
        <v>293</v>
      </c>
      <c r="F294" s="191" t="s">
        <v>451</v>
      </c>
      <c r="G294" s="191" t="s">
        <v>452</v>
      </c>
      <c r="H294" s="191" t="s">
        <v>453</v>
      </c>
      <c r="I294" s="191" t="s">
        <v>71</v>
      </c>
      <c r="J294" s="191" t="s">
        <v>183</v>
      </c>
      <c r="K294" s="191" t="s">
        <v>454</v>
      </c>
      <c r="L294" s="191"/>
      <c r="M294" s="191" t="s">
        <v>191</v>
      </c>
      <c r="N294" s="191" t="s">
        <v>192</v>
      </c>
      <c r="O294" t="s">
        <v>193</v>
      </c>
    </row>
    <row r="295" spans="1:14" ht="12.75">
      <c r="A295" s="114" t="s">
        <v>104</v>
      </c>
      <c r="B295" s="116" t="s">
        <v>105</v>
      </c>
      <c r="C295" s="123">
        <f>((C291-C292)/(C291-1))^0.5</f>
        <v>0.9987089034132868</v>
      </c>
      <c r="D295" s="183"/>
      <c r="E295" s="190"/>
      <c r="F295" s="191"/>
      <c r="G295" s="191"/>
      <c r="H295" s="191"/>
      <c r="I295" s="191"/>
      <c r="J295" s="191"/>
      <c r="K295" s="191" t="s">
        <v>455</v>
      </c>
      <c r="L295" s="191" t="s">
        <v>456</v>
      </c>
      <c r="M295" s="191"/>
      <c r="N295" s="191"/>
    </row>
    <row r="296" spans="1:15" ht="12.75">
      <c r="A296" s="114" t="s">
        <v>59</v>
      </c>
      <c r="B296" s="116" t="s">
        <v>60</v>
      </c>
      <c r="C296" s="123">
        <f>1-C297</f>
        <v>0.95</v>
      </c>
      <c r="D296" s="183"/>
      <c r="E296" s="190" t="s">
        <v>485</v>
      </c>
      <c r="F296" s="191" t="s">
        <v>195</v>
      </c>
      <c r="G296" s="191">
        <v>3.0088495575221237</v>
      </c>
      <c r="H296" s="191">
        <v>0.07697625442599138</v>
      </c>
      <c r="I296" s="191">
        <v>39.0880224032591</v>
      </c>
      <c r="J296" s="191">
        <v>4.1521608349858754E-67</v>
      </c>
      <c r="K296" s="191">
        <v>2.8563309765877505</v>
      </c>
      <c r="L296" s="191">
        <v>3.161368138456497</v>
      </c>
      <c r="M296" s="191">
        <v>0.9317020487773425</v>
      </c>
      <c r="N296" s="191">
        <v>39.0880224032591</v>
      </c>
      <c r="O296">
        <v>1</v>
      </c>
    </row>
    <row r="297" spans="1:15" ht="12.75">
      <c r="A297" s="114" t="s">
        <v>61</v>
      </c>
      <c r="B297" s="117" t="s">
        <v>61</v>
      </c>
      <c r="C297" s="124">
        <v>0.05</v>
      </c>
      <c r="D297" s="183"/>
      <c r="E297" s="190" t="s">
        <v>14</v>
      </c>
      <c r="F297" s="191" t="s">
        <v>195</v>
      </c>
      <c r="G297" s="191">
        <v>2.831858407079646</v>
      </c>
      <c r="H297" s="191">
        <v>0.06925088975556624</v>
      </c>
      <c r="I297" s="191">
        <v>40.892736787573575</v>
      </c>
      <c r="J297" s="191">
        <v>3.67568824891996E-69</v>
      </c>
      <c r="K297" s="191">
        <v>2.694646645962891</v>
      </c>
      <c r="L297" s="191">
        <v>2.969070168196401</v>
      </c>
      <c r="M297" s="191">
        <v>0.937227328474992</v>
      </c>
      <c r="N297" s="191">
        <v>40.892736787573575</v>
      </c>
      <c r="O297">
        <v>1</v>
      </c>
    </row>
    <row r="298" spans="1:14" ht="13.5" thickBot="1">
      <c r="A298" s="114" t="s">
        <v>62</v>
      </c>
      <c r="B298" s="116" t="s">
        <v>83</v>
      </c>
      <c r="C298" s="123">
        <f>1-(C297/2)</f>
        <v>0.975</v>
      </c>
      <c r="D298" s="183"/>
      <c r="E298" s="193" t="s">
        <v>185</v>
      </c>
      <c r="F298" s="194" t="s">
        <v>200</v>
      </c>
      <c r="G298" s="194"/>
      <c r="H298" s="194"/>
      <c r="I298" s="194"/>
      <c r="J298" s="194"/>
      <c r="K298" s="194"/>
      <c r="L298" s="194"/>
      <c r="M298" s="194"/>
      <c r="N298" s="194"/>
    </row>
    <row r="299" spans="1:14" ht="13.5" thickBot="1">
      <c r="A299" s="114" t="s">
        <v>111</v>
      </c>
      <c r="B299" s="116" t="s">
        <v>71</v>
      </c>
      <c r="C299" s="123">
        <f>TINV(C297,C300)</f>
        <v>1.9813717524461687</v>
      </c>
      <c r="E299" s="186"/>
      <c r="F299" s="186"/>
      <c r="G299" s="186"/>
      <c r="H299" s="186"/>
      <c r="I299" s="186"/>
      <c r="J299" s="162"/>
      <c r="K299" s="162"/>
      <c r="L299" s="162"/>
      <c r="M299" s="162"/>
      <c r="N299" s="162"/>
    </row>
    <row r="300" spans="1:10" ht="12.75">
      <c r="A300" s="114" t="s">
        <v>112</v>
      </c>
      <c r="B300" s="116" t="s">
        <v>73</v>
      </c>
      <c r="C300" s="123">
        <f>C292-1</f>
        <v>112</v>
      </c>
      <c r="D300" s="183"/>
      <c r="E300" s="187" t="s">
        <v>457</v>
      </c>
      <c r="F300" s="188"/>
      <c r="G300" s="188"/>
      <c r="H300" s="188"/>
      <c r="I300" s="189"/>
      <c r="J300" s="184"/>
    </row>
    <row r="301" spans="1:10" ht="12.75">
      <c r="A301" s="114" t="s">
        <v>106</v>
      </c>
      <c r="B301" s="117" t="s">
        <v>13</v>
      </c>
      <c r="C301" s="124">
        <v>2.831</v>
      </c>
      <c r="D301" s="183"/>
      <c r="E301" s="190" t="s">
        <v>345</v>
      </c>
      <c r="F301" s="191"/>
      <c r="G301" s="191"/>
      <c r="H301" s="191"/>
      <c r="I301" s="192"/>
      <c r="J301" s="184"/>
    </row>
    <row r="302" spans="1:10" ht="12.75">
      <c r="A302" s="114" t="s">
        <v>107</v>
      </c>
      <c r="B302" s="116" t="s">
        <v>108</v>
      </c>
      <c r="C302" s="123">
        <f>C301-(C299*C294)</f>
        <v>2.694082394142126</v>
      </c>
      <c r="D302" s="183"/>
      <c r="E302" s="190" t="s">
        <v>445</v>
      </c>
      <c r="F302" s="191" t="s">
        <v>3</v>
      </c>
      <c r="G302" s="191" t="s">
        <v>453</v>
      </c>
      <c r="H302" s="191" t="s">
        <v>454</v>
      </c>
      <c r="I302" s="192"/>
      <c r="J302" s="184"/>
    </row>
    <row r="303" spans="1:10" ht="12.75">
      <c r="A303" s="114" t="s">
        <v>109</v>
      </c>
      <c r="B303" s="116" t="s">
        <v>110</v>
      </c>
      <c r="C303" s="123">
        <f>C301+C299*C294</f>
        <v>2.967917605857874</v>
      </c>
      <c r="D303" s="183"/>
      <c r="E303" s="190"/>
      <c r="F303" s="191"/>
      <c r="G303" s="191"/>
      <c r="H303" s="191" t="s">
        <v>455</v>
      </c>
      <c r="I303" s="192" t="s">
        <v>456</v>
      </c>
      <c r="J303" s="184"/>
    </row>
    <row r="304" spans="1:10" ht="12.75">
      <c r="A304" s="114" t="s">
        <v>229</v>
      </c>
      <c r="B304" s="116" t="s">
        <v>230</v>
      </c>
      <c r="C304" s="136">
        <f>C303-C302</f>
        <v>0.2738352117157481</v>
      </c>
      <c r="D304" s="183"/>
      <c r="E304" s="190">
        <v>1</v>
      </c>
      <c r="F304" s="191">
        <v>3.0088495575221237</v>
      </c>
      <c r="G304" s="191">
        <v>0.07697625442599138</v>
      </c>
      <c r="H304" s="191">
        <v>2.8563309765877505</v>
      </c>
      <c r="I304" s="192">
        <v>3.161368138456497</v>
      </c>
      <c r="J304" s="184"/>
    </row>
    <row r="305" spans="1:11" ht="13.5" thickBot="1">
      <c r="A305" s="114" t="s">
        <v>231</v>
      </c>
      <c r="B305" s="116" t="s">
        <v>232</v>
      </c>
      <c r="C305" s="123">
        <f>C304/C302</f>
        <v>0.10164322082767821</v>
      </c>
      <c r="D305" s="183"/>
      <c r="E305" s="193">
        <v>2</v>
      </c>
      <c r="F305" s="194">
        <v>2.831858407079646</v>
      </c>
      <c r="G305" s="194">
        <v>0.06925088975556623</v>
      </c>
      <c r="H305" s="194">
        <v>2.694646645962891</v>
      </c>
      <c r="I305" s="195">
        <v>2.969070168196401</v>
      </c>
      <c r="J305" s="184"/>
      <c r="K305">
        <f>0.92/0.05</f>
        <v>18.4</v>
      </c>
    </row>
    <row r="306" spans="1:11" ht="13.5" thickBot="1">
      <c r="A306" s="114" t="s">
        <v>233</v>
      </c>
      <c r="B306" s="116" t="s">
        <v>234</v>
      </c>
      <c r="C306" s="123">
        <f>C305*100</f>
        <v>10.164322082767821</v>
      </c>
      <c r="E306" s="186"/>
      <c r="F306" s="186"/>
      <c r="G306" s="186"/>
      <c r="H306" s="186"/>
      <c r="I306" s="186"/>
      <c r="J306" s="185"/>
      <c r="K306" s="185"/>
    </row>
    <row r="307" spans="1:12" ht="12.75">
      <c r="A307" s="114" t="s">
        <v>260</v>
      </c>
      <c r="B307" s="116" t="s">
        <v>236</v>
      </c>
      <c r="C307" s="136">
        <f>C299*C294</f>
        <v>0.1369176058578742</v>
      </c>
      <c r="D307" s="183"/>
      <c r="E307" s="187" t="s">
        <v>458</v>
      </c>
      <c r="F307" s="188"/>
      <c r="G307" s="188"/>
      <c r="H307" s="188"/>
      <c r="I307" s="188"/>
      <c r="J307" s="188"/>
      <c r="K307" s="189"/>
      <c r="L307" s="184"/>
    </row>
    <row r="308" spans="1:12" ht="12.75">
      <c r="A308" s="114" t="s">
        <v>261</v>
      </c>
      <c r="B308" s="116" t="s">
        <v>237</v>
      </c>
      <c r="C308" s="137">
        <f>C307/C302</f>
        <v>0.050821610413839154</v>
      </c>
      <c r="D308" s="183"/>
      <c r="E308" s="190" t="s">
        <v>345</v>
      </c>
      <c r="F308" s="191"/>
      <c r="G308" s="191"/>
      <c r="H308" s="191"/>
      <c r="I308" s="191"/>
      <c r="J308" s="191"/>
      <c r="K308" s="192"/>
      <c r="L308" s="184"/>
    </row>
    <row r="309" spans="1:12" ht="12.75">
      <c r="A309" s="114" t="s">
        <v>248</v>
      </c>
      <c r="B309" s="116" t="s">
        <v>239</v>
      </c>
      <c r="C309" s="137">
        <f>C308*100</f>
        <v>5.082161041383915</v>
      </c>
      <c r="D309" s="183"/>
      <c r="E309" s="190" t="s">
        <v>459</v>
      </c>
      <c r="F309" s="191" t="s">
        <v>460</v>
      </c>
      <c r="G309" s="191" t="s">
        <v>461</v>
      </c>
      <c r="H309" s="191" t="s">
        <v>453</v>
      </c>
      <c r="I309" s="191" t="s">
        <v>462</v>
      </c>
      <c r="J309" s="191" t="s">
        <v>463</v>
      </c>
      <c r="K309" s="192"/>
      <c r="L309" s="184"/>
    </row>
    <row r="310" spans="1:12" ht="12.75">
      <c r="A310" s="114" t="s">
        <v>240</v>
      </c>
      <c r="B310" s="117" t="s">
        <v>241</v>
      </c>
      <c r="C310" s="124">
        <v>5</v>
      </c>
      <c r="D310" s="183"/>
      <c r="E310" s="190"/>
      <c r="F310" s="191"/>
      <c r="G310" s="191"/>
      <c r="H310" s="191"/>
      <c r="I310" s="191"/>
      <c r="J310" s="191" t="s">
        <v>455</v>
      </c>
      <c r="K310" s="192" t="s">
        <v>456</v>
      </c>
      <c r="L310" s="184"/>
    </row>
    <row r="311" spans="1:12" ht="12.75">
      <c r="A311" s="114" t="s">
        <v>244</v>
      </c>
      <c r="B311" s="116" t="s">
        <v>246</v>
      </c>
      <c r="C311" s="137">
        <f>C307/C310</f>
        <v>0.02738352117157484</v>
      </c>
      <c r="D311" s="183"/>
      <c r="E311" s="190">
        <v>1</v>
      </c>
      <c r="F311" s="191">
        <v>2</v>
      </c>
      <c r="G311" s="191">
        <v>0.1769911504424777</v>
      </c>
      <c r="H311" s="191">
        <v>0.047049255791187336</v>
      </c>
      <c r="I311" s="191">
        <v>0.00027006498475840544</v>
      </c>
      <c r="J311" s="191">
        <v>0.08376908110693387</v>
      </c>
      <c r="K311" s="192">
        <v>0.27021321977802154</v>
      </c>
      <c r="L311" s="184"/>
    </row>
    <row r="312" spans="1:12" ht="12.75">
      <c r="A312" s="114" t="s">
        <v>245</v>
      </c>
      <c r="B312" s="116" t="s">
        <v>247</v>
      </c>
      <c r="C312" s="137">
        <f>C311*100</f>
        <v>2.738352117157484</v>
      </c>
      <c r="D312" s="183"/>
      <c r="E312" s="190">
        <v>2</v>
      </c>
      <c r="F312" s="191">
        <v>1</v>
      </c>
      <c r="G312" s="191">
        <v>-0.1769911504424777</v>
      </c>
      <c r="H312" s="191">
        <v>0.047049255791187336</v>
      </c>
      <c r="I312" s="191">
        <v>0.00027006498475840544</v>
      </c>
      <c r="J312" s="191">
        <v>-0.27021321977802154</v>
      </c>
      <c r="K312" s="192">
        <v>-0.08376908110693387</v>
      </c>
      <c r="L312" s="184"/>
    </row>
    <row r="313" spans="1:12" ht="13.5" thickBot="1">
      <c r="A313" s="118" t="s">
        <v>242</v>
      </c>
      <c r="B313" s="138" t="s">
        <v>243</v>
      </c>
      <c r="C313" s="139">
        <f>100-C312</f>
        <v>97.26164788284251</v>
      </c>
      <c r="D313" s="183"/>
      <c r="E313" s="190" t="s">
        <v>464</v>
      </c>
      <c r="F313" s="191"/>
      <c r="G313" s="191"/>
      <c r="H313" s="191"/>
      <c r="I313" s="191"/>
      <c r="J313" s="191"/>
      <c r="K313" s="192"/>
      <c r="L313" s="184"/>
    </row>
    <row r="314" spans="4:12" ht="13.5" thickBot="1">
      <c r="D314" s="183"/>
      <c r="E314" s="193" t="s">
        <v>481</v>
      </c>
      <c r="F314" s="194" t="s">
        <v>482</v>
      </c>
      <c r="G314" s="194"/>
      <c r="H314" s="194"/>
      <c r="I314" s="194"/>
      <c r="J314" s="194"/>
      <c r="K314" s="195"/>
      <c r="L314" s="184"/>
    </row>
    <row r="315" spans="1:13" ht="13.5" thickBot="1">
      <c r="A315" s="206" t="s">
        <v>489</v>
      </c>
      <c r="B315" s="207"/>
      <c r="C315" s="207"/>
      <c r="E315" s="186" t="s">
        <v>185</v>
      </c>
      <c r="F315" s="186" t="s">
        <v>465</v>
      </c>
      <c r="G315" s="186"/>
      <c r="H315" s="186"/>
      <c r="I315" s="186"/>
      <c r="J315" s="186"/>
      <c r="K315" s="186"/>
      <c r="L315" s="185"/>
      <c r="M315" s="185"/>
    </row>
    <row r="316" spans="1:14" ht="13.5" thickBot="1">
      <c r="A316" s="133" t="s">
        <v>262</v>
      </c>
      <c r="B316" s="17"/>
      <c r="C316" s="17"/>
      <c r="D316" s="183"/>
      <c r="E316" s="187" t="s">
        <v>466</v>
      </c>
      <c r="F316" s="188"/>
      <c r="G316" s="188"/>
      <c r="H316" s="188"/>
      <c r="I316" s="188"/>
      <c r="J316" s="188"/>
      <c r="K316" s="188"/>
      <c r="L316" s="188"/>
      <c r="M316" s="189"/>
      <c r="N316" s="184"/>
    </row>
    <row r="317" spans="1:14" ht="12.75">
      <c r="A317" s="112" t="s">
        <v>96</v>
      </c>
      <c r="B317" s="134" t="s">
        <v>97</v>
      </c>
      <c r="C317" s="135">
        <f>((C318-C319)/C318)*C320/C319</f>
        <v>0.005904940301218933</v>
      </c>
      <c r="D317" s="183"/>
      <c r="E317" s="190" t="s">
        <v>1</v>
      </c>
      <c r="F317" s="191" t="s">
        <v>285</v>
      </c>
      <c r="G317" s="191" t="s">
        <v>173</v>
      </c>
      <c r="H317" s="191" t="s">
        <v>286</v>
      </c>
      <c r="I317" s="191" t="s">
        <v>287</v>
      </c>
      <c r="J317" s="191" t="s">
        <v>183</v>
      </c>
      <c r="K317" s="191" t="s">
        <v>191</v>
      </c>
      <c r="L317" s="191" t="s">
        <v>192</v>
      </c>
      <c r="M317" s="192" t="s">
        <v>193</v>
      </c>
      <c r="N317" s="184"/>
    </row>
    <row r="318" spans="1:14" ht="12.75">
      <c r="A318" s="114" t="s">
        <v>98</v>
      </c>
      <c r="B318" s="117" t="s">
        <v>2</v>
      </c>
      <c r="C318" s="124">
        <v>43403</v>
      </c>
      <c r="D318" s="183"/>
      <c r="E318" s="190" t="s">
        <v>288</v>
      </c>
      <c r="F318" s="191">
        <v>0.11217748971706364</v>
      </c>
      <c r="G318" s="191">
        <v>14.151340727221704</v>
      </c>
      <c r="H318" s="191">
        <v>1</v>
      </c>
      <c r="I318" s="191">
        <v>112</v>
      </c>
      <c r="J318" s="191">
        <v>0.00027006498475840355</v>
      </c>
      <c r="K318" s="191">
        <v>0.11217748971706364</v>
      </c>
      <c r="L318" s="191">
        <v>14.151340727221704</v>
      </c>
      <c r="M318" s="192">
        <v>0.9615876709094251</v>
      </c>
      <c r="N318" s="184"/>
    </row>
    <row r="319" spans="1:14" ht="12.75">
      <c r="A319" s="114" t="s">
        <v>99</v>
      </c>
      <c r="B319" s="117" t="s">
        <v>100</v>
      </c>
      <c r="C319" s="124">
        <v>113</v>
      </c>
      <c r="D319" s="183"/>
      <c r="E319" s="190" t="s">
        <v>289</v>
      </c>
      <c r="F319" s="191">
        <v>0.8878225102829364</v>
      </c>
      <c r="G319" s="191">
        <v>14.151340727221706</v>
      </c>
      <c r="H319" s="191">
        <v>1</v>
      </c>
      <c r="I319" s="191">
        <v>112</v>
      </c>
      <c r="J319" s="191">
        <v>0.00027006498475840355</v>
      </c>
      <c r="K319" s="191">
        <v>0.11217748971706364</v>
      </c>
      <c r="L319" s="191">
        <v>14.151340727221704</v>
      </c>
      <c r="M319" s="192">
        <v>0.9615876709094251</v>
      </c>
      <c r="N319" s="184"/>
    </row>
    <row r="320" spans="1:14" ht="15.75">
      <c r="A320" s="114" t="s">
        <v>101</v>
      </c>
      <c r="B320" s="117" t="s">
        <v>263</v>
      </c>
      <c r="C320" s="124">
        <v>0.669</v>
      </c>
      <c r="D320" s="183"/>
      <c r="E320" s="190" t="s">
        <v>290</v>
      </c>
      <c r="F320" s="191">
        <v>0.12635125649305093</v>
      </c>
      <c r="G320" s="191">
        <v>14.151340727221704</v>
      </c>
      <c r="H320" s="191">
        <v>1</v>
      </c>
      <c r="I320" s="191">
        <v>112</v>
      </c>
      <c r="J320" s="191">
        <v>0.00027006498475840355</v>
      </c>
      <c r="K320" s="191">
        <v>0.11217748971706364</v>
      </c>
      <c r="L320" s="191">
        <v>14.151340727221704</v>
      </c>
      <c r="M320" s="192">
        <v>0.9615876709094251</v>
      </c>
      <c r="N320" s="184"/>
    </row>
    <row r="321" spans="1:14" ht="12.75">
      <c r="A321" s="114" t="s">
        <v>102</v>
      </c>
      <c r="B321" s="116" t="s">
        <v>103</v>
      </c>
      <c r="C321" s="123">
        <f>C317^0.5</f>
        <v>0.07684360937136499</v>
      </c>
      <c r="D321" s="183"/>
      <c r="E321" s="190" t="s">
        <v>291</v>
      </c>
      <c r="F321" s="191">
        <v>0.12635125649305093</v>
      </c>
      <c r="G321" s="191">
        <v>14.151340727221704</v>
      </c>
      <c r="H321" s="191">
        <v>1</v>
      </c>
      <c r="I321" s="191">
        <v>112</v>
      </c>
      <c r="J321" s="191">
        <v>0.00027006498475840355</v>
      </c>
      <c r="K321" s="191">
        <v>0.11217748971706364</v>
      </c>
      <c r="L321" s="191">
        <v>14.151340727221704</v>
      </c>
      <c r="M321" s="192">
        <v>0.9615876709094251</v>
      </c>
      <c r="N321" s="184"/>
    </row>
    <row r="322" spans="1:14" ht="12.75">
      <c r="A322" s="114" t="s">
        <v>104</v>
      </c>
      <c r="B322" s="116" t="s">
        <v>105</v>
      </c>
      <c r="C322" s="123">
        <f>((C318-C319)/(C318-1))^0.5</f>
        <v>0.9987089034132868</v>
      </c>
      <c r="D322" s="183"/>
      <c r="E322" s="190" t="s">
        <v>467</v>
      </c>
      <c r="F322" s="191"/>
      <c r="G322" s="191"/>
      <c r="H322" s="191"/>
      <c r="I322" s="191"/>
      <c r="J322" s="191"/>
      <c r="K322" s="191"/>
      <c r="L322" s="191"/>
      <c r="M322" s="192"/>
      <c r="N322" s="184"/>
    </row>
    <row r="323" spans="1:14" ht="12.75">
      <c r="A323" s="114" t="s">
        <v>59</v>
      </c>
      <c r="B323" s="116" t="s">
        <v>60</v>
      </c>
      <c r="C323" s="123">
        <f>1-C324</f>
        <v>0.95</v>
      </c>
      <c r="D323" s="183"/>
      <c r="E323" s="190" t="s">
        <v>185</v>
      </c>
      <c r="F323" s="191" t="s">
        <v>200</v>
      </c>
      <c r="G323" s="191"/>
      <c r="H323" s="191"/>
      <c r="I323" s="191"/>
      <c r="J323" s="191"/>
      <c r="K323" s="191"/>
      <c r="L323" s="191"/>
      <c r="M323" s="192"/>
      <c r="N323" s="184"/>
    </row>
    <row r="324" spans="1:14" ht="13.5" thickBot="1">
      <c r="A324" s="114" t="s">
        <v>61</v>
      </c>
      <c r="B324" s="117" t="s">
        <v>61</v>
      </c>
      <c r="C324" s="124">
        <v>0.05</v>
      </c>
      <c r="D324" s="183"/>
      <c r="E324" s="193" t="s">
        <v>201</v>
      </c>
      <c r="F324" s="194" t="s">
        <v>292</v>
      </c>
      <c r="G324" s="194"/>
      <c r="H324" s="194"/>
      <c r="I324" s="194"/>
      <c r="J324" s="194"/>
      <c r="K324" s="194"/>
      <c r="L324" s="194"/>
      <c r="M324" s="195"/>
      <c r="N324" s="184"/>
    </row>
    <row r="325" spans="1:13" ht="12.75">
      <c r="A325" s="114" t="s">
        <v>62</v>
      </c>
      <c r="B325" s="116" t="s">
        <v>83</v>
      </c>
      <c r="C325" s="123">
        <f>1-(C324/2)</f>
        <v>0.975</v>
      </c>
      <c r="E325" s="162"/>
      <c r="F325" s="162"/>
      <c r="G325" s="162"/>
      <c r="H325" s="162"/>
      <c r="I325" s="162"/>
      <c r="J325" s="162"/>
      <c r="K325" s="162"/>
      <c r="L325" s="162"/>
      <c r="M325" s="162"/>
    </row>
    <row r="326" spans="1:3" ht="12.75">
      <c r="A326" s="114" t="s">
        <v>111</v>
      </c>
      <c r="B326" s="116" t="s">
        <v>71</v>
      </c>
      <c r="C326" s="123">
        <f>TINV(C324,C327)</f>
        <v>1.9813717524461687</v>
      </c>
    </row>
    <row r="327" spans="1:3" ht="12.75">
      <c r="A327" s="114" t="s">
        <v>112</v>
      </c>
      <c r="B327" s="116" t="s">
        <v>73</v>
      </c>
      <c r="C327" s="123">
        <f>C319-1</f>
        <v>112</v>
      </c>
    </row>
    <row r="328" spans="1:3" ht="12.75">
      <c r="A328" s="114" t="s">
        <v>106</v>
      </c>
      <c r="B328" s="117" t="s">
        <v>13</v>
      </c>
      <c r="C328" s="124">
        <v>3.008</v>
      </c>
    </row>
    <row r="329" spans="1:3" ht="12.75">
      <c r="A329" s="114" t="s">
        <v>107</v>
      </c>
      <c r="B329" s="116" t="s">
        <v>108</v>
      </c>
      <c r="C329" s="123">
        <f>C328-(C326*C321)</f>
        <v>2.85574424303557</v>
      </c>
    </row>
    <row r="330" spans="1:3" ht="12.75">
      <c r="A330" s="114" t="s">
        <v>109</v>
      </c>
      <c r="B330" s="116" t="s">
        <v>110</v>
      </c>
      <c r="C330" s="123">
        <f>C328+C326*C321</f>
        <v>3.16025575696443</v>
      </c>
    </row>
    <row r="331" spans="1:3" ht="12.75">
      <c r="A331" s="114" t="s">
        <v>229</v>
      </c>
      <c r="B331" s="116" t="s">
        <v>230</v>
      </c>
      <c r="C331" s="136">
        <f>C330-C329</f>
        <v>0.3045115139288601</v>
      </c>
    </row>
    <row r="332" spans="1:3" ht="12.75">
      <c r="A332" s="114" t="s">
        <v>231</v>
      </c>
      <c r="B332" s="116" t="s">
        <v>232</v>
      </c>
      <c r="C332" s="123">
        <f>C331/C329</f>
        <v>0.10663122745374899</v>
      </c>
    </row>
    <row r="333" spans="1:3" ht="12.75">
      <c r="A333" s="114" t="s">
        <v>233</v>
      </c>
      <c r="B333" s="116" t="s">
        <v>234</v>
      </c>
      <c r="C333" s="123">
        <f>C332*100</f>
        <v>10.6631227453749</v>
      </c>
    </row>
    <row r="334" spans="1:3" ht="12.75">
      <c r="A334" s="114" t="s">
        <v>260</v>
      </c>
      <c r="B334" s="116" t="s">
        <v>236</v>
      </c>
      <c r="C334" s="136">
        <f>C326*C321</f>
        <v>0.15225575696443028</v>
      </c>
    </row>
    <row r="335" spans="1:3" ht="12.75">
      <c r="A335" s="114" t="s">
        <v>261</v>
      </c>
      <c r="B335" s="116" t="s">
        <v>237</v>
      </c>
      <c r="C335" s="137">
        <f>C334/C329</f>
        <v>0.05331561372687457</v>
      </c>
    </row>
    <row r="336" spans="1:3" ht="12.75">
      <c r="A336" s="114" t="s">
        <v>248</v>
      </c>
      <c r="B336" s="116" t="s">
        <v>239</v>
      </c>
      <c r="C336" s="137">
        <f>C335*100</f>
        <v>5.331561372687458</v>
      </c>
    </row>
    <row r="337" spans="1:3" ht="12.75">
      <c r="A337" s="114" t="s">
        <v>240</v>
      </c>
      <c r="B337" s="117" t="s">
        <v>241</v>
      </c>
      <c r="C337" s="124">
        <v>5</v>
      </c>
    </row>
    <row r="338" spans="1:3" ht="12.75">
      <c r="A338" s="114" t="s">
        <v>244</v>
      </c>
      <c r="B338" s="116" t="s">
        <v>246</v>
      </c>
      <c r="C338" s="137">
        <f>C334/C337</f>
        <v>0.030451151392886056</v>
      </c>
    </row>
    <row r="339" spans="1:3" ht="12.75">
      <c r="A339" s="114" t="s">
        <v>245</v>
      </c>
      <c r="B339" s="116" t="s">
        <v>247</v>
      </c>
      <c r="C339" s="137">
        <f>C338*100</f>
        <v>3.0451151392886056</v>
      </c>
    </row>
    <row r="340" spans="1:3" ht="13.5" thickBot="1">
      <c r="A340" s="118" t="s">
        <v>242</v>
      </c>
      <c r="B340" s="138" t="s">
        <v>243</v>
      </c>
      <c r="C340" s="139">
        <f>100-C339</f>
        <v>96.95488486071139</v>
      </c>
    </row>
  </sheetData>
  <printOptions/>
  <pageMargins left="0.75" right="0.75" top="1" bottom="1" header="0" footer="0"/>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economia</cp:lastModifiedBy>
  <cp:lastPrinted>2006-02-02T09:32:24Z</cp:lastPrinted>
  <dcterms:created xsi:type="dcterms:W3CDTF">2006-01-31T13:25:30Z</dcterms:created>
  <dcterms:modified xsi:type="dcterms:W3CDTF">2008-01-15T09:04:35Z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